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0" documentId="8_{6C00462C-CCCE-47CD-9080-507CC8E4863A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Rural_Mensal!$A$1:$H$597</definedName>
    <definedName name="_xlnm.Print_Area" localSheetId="0">SBPE!$A$1:$Q$81</definedName>
    <definedName name="_xlnm.Print_Area" localSheetId="1">SBPE_Mensal!$A$1:$H$531</definedName>
    <definedName name="_xlnm.Print_Area" localSheetId="3">Total_Anual!$A$1:$M$63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1" i="7" l="1"/>
  <c r="F40" i="10" s="1"/>
  <c r="G591" i="1"/>
  <c r="B40" i="10" s="1"/>
  <c r="F22" i="11"/>
  <c r="H23" i="11" l="1"/>
  <c r="J40" i="10"/>
  <c r="C40" i="10"/>
  <c r="H52" i="11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F591" i="1"/>
  <c r="C591" i="1"/>
  <c r="B591" i="1"/>
  <c r="D590" i="1"/>
  <c r="E590" i="1" s="1"/>
  <c r="D589" i="1"/>
  <c r="E589" i="1" s="1"/>
  <c r="F21" i="11" s="1"/>
  <c r="D588" i="1"/>
  <c r="E588" i="1" s="1"/>
  <c r="F20" i="11" s="1"/>
  <c r="D587" i="1"/>
  <c r="E587" i="1" s="1"/>
  <c r="F19" i="11" s="1"/>
  <c r="D586" i="1"/>
  <c r="E586" i="1" s="1"/>
  <c r="F18" i="11" s="1"/>
  <c r="D585" i="1"/>
  <c r="E585" i="1" s="1"/>
  <c r="F17" i="11" s="1"/>
  <c r="D584" i="1"/>
  <c r="E584" i="1" s="1"/>
  <c r="F16" i="11" s="1"/>
  <c r="D583" i="1"/>
  <c r="E583" i="1" s="1"/>
  <c r="F15" i="11" s="1"/>
  <c r="D582" i="1"/>
  <c r="E582" i="1" s="1"/>
  <c r="F14" i="11" s="1"/>
  <c r="D581" i="1"/>
  <c r="E581" i="1" s="1"/>
  <c r="F13" i="11" s="1"/>
  <c r="D580" i="1"/>
  <c r="E580" i="1" s="1"/>
  <c r="D579" i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B39" i="10" s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D591" i="7" l="1"/>
  <c r="E579" i="7"/>
  <c r="D591" i="1"/>
  <c r="E579" i="1"/>
  <c r="C39" i="10"/>
  <c r="J39" i="10"/>
  <c r="K40" i="10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E591" i="7" l="1"/>
  <c r="H40" i="10"/>
  <c r="I40" i="10" s="1"/>
  <c r="E591" i="1"/>
  <c r="F23" i="11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3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P4" i="11" l="1"/>
  <c r="F64" i="11" s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11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D34" i="10" l="1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J52" i="11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E331" i="7" s="1"/>
  <c r="C331" i="7"/>
  <c r="B331" i="7"/>
  <c r="G318" i="7"/>
  <c r="E319" i="7" s="1"/>
  <c r="D318" i="7"/>
  <c r="C318" i="7"/>
  <c r="B318" i="7"/>
  <c r="G305" i="7"/>
  <c r="E306" i="7" s="1"/>
  <c r="D305" i="7"/>
  <c r="E305" i="7" s="1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H53" i="11"/>
  <c r="F429" i="7"/>
  <c r="F445" i="7"/>
  <c r="F430" i="1"/>
  <c r="E357" i="1" l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C4" i="1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51" i="11"/>
  <c r="G51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6" i="11" l="1"/>
  <c r="G16" i="11"/>
  <c r="E16" i="11"/>
  <c r="D16" i="11"/>
  <c r="C16" i="11"/>
  <c r="H18" i="11"/>
  <c r="G18" i="11"/>
  <c r="E18" i="11"/>
  <c r="D18" i="11"/>
  <c r="C18" i="11"/>
  <c r="G17" i="11"/>
  <c r="C17" i="11"/>
  <c r="H17" i="11"/>
  <c r="E17" i="11"/>
  <c r="D17" i="11"/>
  <c r="H13" i="11"/>
  <c r="E13" i="11"/>
  <c r="D13" i="11"/>
  <c r="C13" i="11"/>
  <c r="G13" i="11"/>
  <c r="H14" i="11"/>
  <c r="G14" i="11"/>
  <c r="E14" i="11"/>
  <c r="D14" i="11"/>
  <c r="C14" i="11"/>
  <c r="C19" i="11"/>
  <c r="H19" i="11"/>
  <c r="G19" i="11"/>
  <c r="E19" i="11"/>
  <c r="D19" i="11"/>
  <c r="H21" i="11"/>
  <c r="G21" i="11"/>
  <c r="E21" i="11"/>
  <c r="D21" i="11"/>
  <c r="C21" i="11"/>
  <c r="H22" i="11"/>
  <c r="G22" i="11"/>
  <c r="E22" i="11"/>
  <c r="D22" i="11"/>
  <c r="C22" i="11"/>
  <c r="H12" i="11"/>
  <c r="G12" i="11"/>
  <c r="F12" i="11"/>
  <c r="E12" i="11"/>
  <c r="D12" i="11"/>
  <c r="C12" i="11"/>
  <c r="H20" i="11"/>
  <c r="G20" i="11"/>
  <c r="E20" i="11"/>
  <c r="D20" i="11"/>
  <c r="C20" i="11"/>
  <c r="H11" i="11"/>
  <c r="G11" i="11"/>
  <c r="E11" i="11"/>
  <c r="M29" i="11" s="1"/>
  <c r="D11" i="11"/>
  <c r="C11" i="11"/>
  <c r="F11" i="11"/>
  <c r="H15" i="11"/>
  <c r="E15" i="11"/>
  <c r="D15" i="11"/>
  <c r="C15" i="11"/>
  <c r="G15" i="11"/>
  <c r="I24" i="10"/>
  <c r="J23" i="10"/>
  <c r="L24" i="10"/>
  <c r="M24" i="10" s="1"/>
  <c r="C25" i="10"/>
  <c r="E25" i="10"/>
  <c r="J24" i="10"/>
  <c r="K24" i="10" s="1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K23" i="10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K25" i="10" l="1"/>
  <c r="K27" i="10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<sst xmlns="http://schemas.openxmlformats.org/spreadsheetml/2006/main" count="1917" uniqueCount="137">
  <si>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</si>
  <si>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</si>
  <si>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</si>
  <si>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</si>
  <si>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</si>
  <si>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</si>
  <si>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</si>
  <si>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</si>
  <si>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</si>
  <si>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</si>
  <si>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</si>
  <si>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</si>
  <si>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</si>
  <si>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</si>
  <si>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</si>
  <si>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</si>
  <si>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</si>
  <si>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</si>
  <si>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</si>
  <si>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</si>
  <si>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</si>
  <si>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</si>
  <si>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</si>
  <si>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</si>
  <si>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</si>
  <si>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</si>
  <si>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</si>
  <si>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</si>
  <si>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</si>
  <si>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</si>
  <si>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</si>
  <si>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</si>
  <si>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</si>
  <si>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</si>
  <si>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</si>
  <si>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</si>
  <si>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</si>
  <si>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</si>
  <si>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</si>
  <si>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</si>
  <si>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</si>
  <si>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</si>
  <si>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</si>
  <si>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</si>
  <si>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</si>
  <si>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</si>
  <si>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</si>
  <si>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</si>
  <si>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</si>
  <si>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</si>
  <si>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</si>
  <si>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</si>
  <si>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</si>
  <si>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</si>
  <si>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</si>
  <si>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</si>
  <si>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</si>
  <si>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</si>
  <si>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</si>
  <si>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</si>
  <si>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</si>
  <si>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</si>
  <si>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</si>
  <si>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</si>
  <si>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</si>
  <si>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</si>
  <si>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</si>
  <si>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</si>
  <si>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</si>
  <si>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</si>
  <si>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</si>
  <si>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</si>
  <si>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</si>
  <si>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</si>
  <si>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</si>
  <si>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</si>
  <si>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</si>
  <si>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</si>
  <si>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</si>
  <si>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</si>
  <si>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</si>
  <si>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</si>
  <si>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</si>
  <si>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</si>
  <si>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</si>
  <si>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</si>
  <si>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</si>
  <si>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</si>
  <si>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</si>
  <si>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</si>
  <si>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</si>
  <si>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</si>
  <si>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</si>
  <si>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</si>
  <si>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</si>
  <si>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</si>
  <si>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</si>
  <si>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</si>
  <si>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</si>
  <si>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</si>
  <si>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</si>
  <si>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</si>
  <si>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</si>
  <si>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</si>
  <si>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</si>
  <si>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</si>
  <si>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</si>
  <si>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</si>
  <si>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</si>
  <si>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</si>
  <si>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</si>
  <si>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</si>
  <si>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</si>
  <si>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</si>
  <si>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</si>
  <si>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</si>
  <si>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</si>
  <si>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</si>
  <si>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</si>
  <si>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</si>
  <si>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</si>
  <si>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</si>
  <si>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</si>
  <si>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</si>
  <si>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</si>
  <si>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</si>
  <si>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</si>
  <si>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</si>
  <si>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</si>
  <si>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</si>
  <si>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</si>
  <si>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</si>
  <si>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</si>
  <si>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</si>
  <si>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</si>
  <si>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2025*</t>
  </si>
  <si>
    <t>Obs: 2025* valores até outubro.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</si>
</sst>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2025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757495.99399999995</c:v>
                </c:pt>
                <c:pt idx="1">
                  <c:v>757156.03200000001</c:v>
                </c:pt>
                <c:pt idx="2">
                  <c:v>752113.43299999996</c:v>
                </c:pt>
                <c:pt idx="3">
                  <c:v>752449.64500000002</c:v>
                </c:pt>
                <c:pt idx="4">
                  <c:v>756867.36800000002</c:v>
                </c:pt>
                <c:pt idx="5">
                  <c:v>762287.89199999999</c:v>
                </c:pt>
                <c:pt idx="6">
                  <c:v>761842.52899999998</c:v>
                </c:pt>
                <c:pt idx="7">
                  <c:v>762004.38500000001</c:v>
                </c:pt>
                <c:pt idx="8">
                  <c:v>755068.00100000005</c:v>
                </c:pt>
                <c:pt idx="9">
                  <c:v>752988.63500000001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2025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-20304.088999999978</c:v>
                </c:pt>
                <c:pt idx="1">
                  <c:v>-25362.532999999996</c:v>
                </c:pt>
                <c:pt idx="2">
                  <c:v>-34601.108000000007</c:v>
                </c:pt>
                <c:pt idx="3">
                  <c:v>-38940.785000000033</c:v>
                </c:pt>
                <c:pt idx="4">
                  <c:v>-39069.431000000041</c:v>
                </c:pt>
                <c:pt idx="5">
                  <c:v>-38396.008000000031</c:v>
                </c:pt>
                <c:pt idx="6">
                  <c:v>-43665.190999999992</c:v>
                </c:pt>
                <c:pt idx="7">
                  <c:v>-48338.02999999997</c:v>
                </c:pt>
                <c:pt idx="8">
                  <c:v>-60059.32799999998</c:v>
                </c:pt>
                <c:pt idx="9">
                  <c:v>-66942.693999999959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Total_Anual!$B$14:$B$40</c:f>
              <c:numCache>
                <c:formatCode>#,##0</c:formatCode>
                <c:ptCount val="5"/>
                <c:pt idx="0">
                  <c:v>790109.01300000004</c:v>
                </c:pt>
                <c:pt idx="1">
                  <c:v>763815.06599999999</c:v>
                </c:pt>
                <c:pt idx="2">
                  <c:v>747081.24699999997</c:v>
                </c:pt>
                <c:pt idx="3">
                  <c:v>773481.21699999995</c:v>
                </c:pt>
                <c:pt idx="4">
                  <c:v>752988.63500000001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Total_Anual!$F$14:$F$40</c:f>
              <c:numCache>
                <c:formatCode>#,##0</c:formatCode>
                <c:ptCount val="5"/>
                <c:pt idx="0">
                  <c:v>240493.997</c:v>
                </c:pt>
                <c:pt idx="1">
                  <c:v>235128.245</c:v>
                </c:pt>
                <c:pt idx="2">
                  <c:v>235952.658</c:v>
                </c:pt>
                <c:pt idx="3">
                  <c:v>258372.13399999999</c:v>
                </c:pt>
                <c:pt idx="4">
                  <c:v>253814.046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Total_Anual!$J$14:$J$40</c:f>
              <c:numCache>
                <c:formatCode>#,##0</c:formatCode>
                <c:ptCount val="5"/>
                <c:pt idx="0">
                  <c:v>1030603.01</c:v>
                </c:pt>
                <c:pt idx="1">
                  <c:v>998943.31099999999</c:v>
                </c:pt>
                <c:pt idx="2">
                  <c:v>983033.90500000003</c:v>
                </c:pt>
                <c:pt idx="3">
                  <c:v>1031853.3509999999</c:v>
                </c:pt>
                <c:pt idx="4">
                  <c:v>1006802.681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Total_Anual!$D$14:$D$40</c:f>
              <c:numCache>
                <c:formatCode>#,##0_);[Red]\(#,##0\)</c:formatCode>
                <c:ptCount val="5"/>
                <c:pt idx="0">
                  <c:v>-34755.496999999887</c:v>
                </c:pt>
                <c:pt idx="1">
                  <c:v>-80944.485000000015</c:v>
                </c:pt>
                <c:pt idx="2">
                  <c:v>-72393.907000000007</c:v>
                </c:pt>
                <c:pt idx="3">
                  <c:v>-21717.608000000066</c:v>
                </c:pt>
                <c:pt idx="4">
                  <c:v>-66942.693999999959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Total_Anual!$H$14:$H$40</c:f>
              <c:numCache>
                <c:formatCode>#,##0_);[Red]\(#,##0\)</c:formatCode>
                <c:ptCount val="5"/>
                <c:pt idx="0">
                  <c:v>-741.41299999999319</c:v>
                </c:pt>
                <c:pt idx="1">
                  <c:v>-22292.690999999992</c:v>
                </c:pt>
                <c:pt idx="2">
                  <c:v>-15425.218000000001</c:v>
                </c:pt>
                <c:pt idx="3">
                  <c:v>6250.8390000000072</c:v>
                </c:pt>
                <c:pt idx="4">
                  <c:v>-21178.69400000001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Total_Anual!$L$14:$L$40</c:f>
              <c:numCache>
                <c:formatCode>#,##0_);[Red]\(#,##0\)</c:formatCode>
                <c:ptCount val="5"/>
                <c:pt idx="0">
                  <c:v>-35496.90999999988</c:v>
                </c:pt>
                <c:pt idx="1">
                  <c:v>-103237.17600000001</c:v>
                </c:pt>
                <c:pt idx="2">
                  <c:v>-87819.125</c:v>
                </c:pt>
                <c:pt idx="3">
                  <c:v>-15466.769000000058</c:v>
                </c:pt>
                <c:pt idx="4">
                  <c:v>-88121.387999999977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38100</xdr:rowOff>
    </xdr:from>
    <xdr:to>
      <xdr:col>6</xdr:col>
      <xdr:colOff>504825</xdr:colOff>
      <xdr:row>62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43</xdr:row>
      <xdr:rowOff>38100</xdr:rowOff>
    </xdr:from>
    <xdr:to>
      <xdr:col>12</xdr:col>
      <xdr:colOff>781050</xdr:colOff>
      <xdr:row>62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L17" sqref="L17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2025</v>
      </c>
      <c r="G4" s="65"/>
      <c r="I4" s="65"/>
      <c r="P4" s="65">
        <f>P3+1994</f>
        <v>2025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2025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2025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Jan-25</v>
      </c>
      <c r="C11" s="109">
        <f>IF($G51&lt;$J$52,"",IF($G51&gt;$J$54,"",VLOOKUP($G51,SBPE_Mensal!$A$20:$G$591,2)))</f>
        <v>281980.60100000002</v>
      </c>
      <c r="D11" s="110">
        <f>IF(G51&lt;$J$52,"",IF(G51&gt;$J$54,"",VLOOKUP(G51,SBPE_Mensal!$A$20:$G$591,3)))</f>
        <v>302284.69</v>
      </c>
      <c r="E11" s="109">
        <f>IF(G51&lt;$J$52,"",IF(G51&gt;$J$54,"",VLOOKUP(G51,SBPE_Mensal!$A$20:$G$591,4)))</f>
        <v>-20304.088999999978</v>
      </c>
      <c r="F11" s="111">
        <f>IF(G51&lt;$J$52,"",IF(G51&gt;$J$54,"",VLOOKUP(G51,SBPE_Mensal!$A$20:$G$591,5)))</f>
        <v>-2.6250267690727878</v>
      </c>
      <c r="G11" s="110">
        <f>IF(G51&lt;$J$52,"",IF(G51&gt;$J$54,"",VLOOKUP(G51,SBPE_Mensal!$A$20:$G$591,6)))</f>
        <v>4318.8630000000003</v>
      </c>
      <c r="H11" s="109">
        <f>IF(G51&lt;$J$52,"",IF(G51&gt;$J$54,"",VLOOKUP(G51,SBPE_Mensal!$A$20:$G$591,7)))</f>
        <v>757495.99399999995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Fev-25</v>
      </c>
      <c r="C12" s="109">
        <f>IF($G52&lt;$J$52,"",IF($G52&gt;$J$54,"",VLOOKUP($G52,SBPE_Mensal!$A$20:$G$591,2)))</f>
        <v>287772.86099999998</v>
      </c>
      <c r="D12" s="110">
        <f>IF(G52&lt;$J$52,"",IF(G52&gt;$J$54,"",VLOOKUP(G52,SBPE_Mensal!$A$20:$G$591,3)))</f>
        <v>292831.30499999999</v>
      </c>
      <c r="E12" s="109">
        <f>IF(G52&lt;$J$52,"",IF(G52&gt;$J$54,"",VLOOKUP(G52,SBPE_Mensal!$A$20:$G$591,4)))</f>
        <v>-5058.4440000000177</v>
      </c>
      <c r="F12" s="111">
        <f>IF(G52&lt;$J$52,"",IF(G52&gt;$J$54,"",VLOOKUP(G52,SBPE_Mensal!$A$20:$G$591,5)))</f>
        <v>-0.66778491768499282</v>
      </c>
      <c r="G12" s="110">
        <f>IF(G52&lt;$J$52,"",IF(G52&gt;$J$54,"",VLOOKUP(G52,SBPE_Mensal!$A$20:$G$591,6)))</f>
        <v>4718.4859999999999</v>
      </c>
      <c r="H12" s="109">
        <f>IF(G52&lt;$J$52,"",IF(G52&gt;$J$54,"",VLOOKUP(G52,SBPE_Mensal!$A$20:$G$591,7)))</f>
        <v>757156.03200000001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Mar-25</v>
      </c>
      <c r="C13" s="109">
        <f>IF($G53&lt;$J$52,"",IF($G53&gt;$J$54,"",VLOOKUP($G53,SBPE_Mensal!$A$20:$G$591,2)))</f>
        <v>294081.94</v>
      </c>
      <c r="D13" s="110">
        <f>IF(G53&lt;$J$52,"",IF(G53&gt;$J$54,"",VLOOKUP(G53,SBPE_Mensal!$A$20:$G$591,3)))</f>
        <v>303320.51500000001</v>
      </c>
      <c r="E13" s="109">
        <f>IF(G53&lt;$J$52,"",IF(G53&gt;$J$54,"",VLOOKUP(G53,SBPE_Mensal!$A$20:$G$591,4)))</f>
        <v>-9238.5750000000116</v>
      </c>
      <c r="F13" s="111">
        <f>IF(G53&lt;$J$52,"",IF(G53&gt;$J$54,"",VLOOKUP(G53,SBPE_Mensal!$A$20:$G$591,5)))</f>
        <v>-1.220167919100724</v>
      </c>
      <c r="G13" s="110">
        <f>IF(G53&lt;$J$52,"",IF(G53&gt;$J$54,"",VLOOKUP(G53,SBPE_Mensal!$A$20:$G$591,6)))</f>
        <v>4195.9759999999997</v>
      </c>
      <c r="H13" s="109">
        <f>IF(G53&lt;$J$52,"",IF(G53&gt;$J$54,"",VLOOKUP(G53,SBPE_Mensal!$A$20:$G$591,7)))</f>
        <v>752113.43299999996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Abr-25</v>
      </c>
      <c r="C14" s="109">
        <f>IF($G54&lt;$J$52,"",IF($G54&gt;$J$54,"",VLOOKUP($G54,SBPE_Mensal!$A$20:$G$591,2)))</f>
        <v>301989.09499999997</v>
      </c>
      <c r="D14" s="110">
        <f>IF(G54&lt;$J$52,"",IF(G54&gt;$J$54,"",VLOOKUP(G54,SBPE_Mensal!$A$20:$G$591,3)))</f>
        <v>306328.772</v>
      </c>
      <c r="E14" s="109">
        <f>IF(G54&lt;$J$52,"",IF(G54&gt;$J$54,"",VLOOKUP(G54,SBPE_Mensal!$A$20:$G$591,4)))</f>
        <v>-4339.6770000000251</v>
      </c>
      <c r="F14" s="111">
        <f>IF(G54&lt;$J$52,"",IF(G54&gt;$J$54,"",VLOOKUP(G54,SBPE_Mensal!$A$20:$G$591,5)))</f>
        <v>-0.57699767210513653</v>
      </c>
      <c r="G14" s="110">
        <f>IF(G54&lt;$J$52,"",IF(G54&gt;$J$54,"",VLOOKUP(G54,SBPE_Mensal!$A$20:$G$591,6)))</f>
        <v>4675.8890000000001</v>
      </c>
      <c r="H14" s="109">
        <f>IF(G54&lt;$J$52,"",IF(G54&gt;$J$54,"",VLOOKUP(G54,SBPE_Mensal!$A$20:$G$591,7)))</f>
        <v>752449.64500000002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Mai-25</v>
      </c>
      <c r="C15" s="109">
        <f>IF($G55&lt;$J$52,"",IF($G55&gt;$J$54,"",VLOOKUP($G55,SBPE_Mensal!$A$20:$G$591,2)))</f>
        <v>314011.147</v>
      </c>
      <c r="D15" s="110">
        <f>IF(G55&lt;$J$52,"",IF(G55&gt;$J$54,"",VLOOKUP(G55,SBPE_Mensal!$A$20:$G$591,3)))</f>
        <v>314139.79300000001</v>
      </c>
      <c r="E15" s="109">
        <f>IF(G55&lt;$J$52,"",IF(G55&gt;$J$54,"",VLOOKUP(G55,SBPE_Mensal!$A$20:$G$591,4)))</f>
        <v>-128.64600000000792</v>
      </c>
      <c r="F15" s="111">
        <f>IF(G55&lt;$J$52,"",IF(G55&gt;$J$54,"",VLOOKUP(G55,SBPE_Mensal!$A$20:$G$591,5)))</f>
        <v>-1.7096958029664287E-2</v>
      </c>
      <c r="G15" s="110">
        <f>IF(G55&lt;$J$52,"",IF(G55&gt;$J$54,"",VLOOKUP(G55,SBPE_Mensal!$A$20:$G$591,6)))</f>
        <v>4546.3689999999997</v>
      </c>
      <c r="H15" s="109">
        <f>IF(G55&lt;$J$52,"",IF(G55&gt;$J$54,"",VLOOKUP(G55,SBPE_Mensal!$A$20:$G$591,7)))</f>
        <v>756867.36800000002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Jun-25</v>
      </c>
      <c r="C16" s="109">
        <f>IF($G56&lt;$J$52,"",IF($G56&gt;$J$54,"",VLOOKUP($G56,SBPE_Mensal!$A$20:$G$591,2)))</f>
        <v>314335.70400000003</v>
      </c>
      <c r="D16" s="110">
        <f>IF(G56&lt;$J$52,"",IF(G56&gt;$J$54,"",VLOOKUP(G56,SBPE_Mensal!$A$20:$G$591,3)))</f>
        <v>313662.28100000002</v>
      </c>
      <c r="E16" s="109">
        <f>IF(G56&lt;$J$52,"",IF(G56&gt;$J$54,"",VLOOKUP(G56,SBPE_Mensal!$A$20:$G$591,4)))</f>
        <v>673.42300000000978</v>
      </c>
      <c r="F16" s="111">
        <f>IF(G56&lt;$J$52,"",IF(G56&gt;$J$54,"",VLOOKUP(G56,SBPE_Mensal!$A$20:$G$591,5)))</f>
        <v>8.8975034262543315E-2</v>
      </c>
      <c r="G16" s="110">
        <f>IF(G56&lt;$J$52,"",IF(G56&gt;$J$54,"",VLOOKUP(G56,SBPE_Mensal!$A$20:$G$591,6)))</f>
        <v>4747.1130000000003</v>
      </c>
      <c r="H16" s="109">
        <f>IF(G56&lt;$J$52,"",IF(G56&gt;$J$54,"",VLOOKUP(G56,SBPE_Mensal!$A$20:$G$591,7)))</f>
        <v>762287.89199999999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Jul-25</v>
      </c>
      <c r="C17" s="109">
        <f>IF($G57&lt;$J$52,"",IF($G57&gt;$J$54,"",VLOOKUP($G57,SBPE_Mensal!$A$20:$G$591,2)))</f>
        <v>310779.40000000002</v>
      </c>
      <c r="D17" s="110">
        <f>IF(G57&lt;$J$52,"",IF(G57&gt;$J$54,"",VLOOKUP(G57,SBPE_Mensal!$A$20:$G$591,3)))</f>
        <v>316048.58299999998</v>
      </c>
      <c r="E17" s="109">
        <f>IF(G57&lt;$J$52,"",IF(G57&gt;$J$54,"",VLOOKUP(G57,SBPE_Mensal!$A$20:$G$591,4)))</f>
        <v>-5269.1829999999609</v>
      </c>
      <c r="F17" s="111">
        <f>IF(G57&lt;$J$52,"",IF(G57&gt;$J$54,"",VLOOKUP(G57,SBPE_Mensal!$A$20:$G$591,5)))</f>
        <v>-0.69123267669584876</v>
      </c>
      <c r="G17" s="110">
        <f>IF(G57&lt;$J$52,"",IF(G57&gt;$J$54,"",VLOOKUP(G57,SBPE_Mensal!$A$20:$G$591,6)))</f>
        <v>4823.8239999999996</v>
      </c>
      <c r="H17" s="109">
        <f>IF(G57&lt;$J$52,"",IF(G57&gt;$J$54,"",VLOOKUP(G57,SBPE_Mensal!$A$20:$G$591,7)))</f>
        <v>761842.52899999998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Ago-25</v>
      </c>
      <c r="C18" s="109">
        <f>IF($G58&lt;$J$52,"",IF($G58&gt;$J$54,"",VLOOKUP($G58,SBPE_Mensal!$A$20:$G$591,2)))</f>
        <v>297531.054</v>
      </c>
      <c r="D18" s="110">
        <f>IF(G58&lt;$J$52,"",IF(G58&gt;$J$54,"",VLOOKUP(G58,SBPE_Mensal!$A$20:$G$591,3)))</f>
        <v>302203.89299999998</v>
      </c>
      <c r="E18" s="109">
        <f>IF(G58&lt;$J$52,"",IF(G58&gt;$J$54,"",VLOOKUP(G58,SBPE_Mensal!$A$20:$G$591,4)))</f>
        <v>-4672.8389999999781</v>
      </c>
      <c r="F18" s="111">
        <f>IF(G58&lt;$J$52,"",IF(G58&gt;$J$54,"",VLOOKUP(G58,SBPE_Mensal!$A$20:$G$591,5)))</f>
        <v>-0.61336021843432409</v>
      </c>
      <c r="G18" s="110">
        <f>IF(G58&lt;$J$52,"",IF(G58&gt;$J$54,"",VLOOKUP(G58,SBPE_Mensal!$A$20:$G$591,6)))</f>
        <v>4834.6970000000001</v>
      </c>
      <c r="H18" s="109">
        <f>IF(G58&lt;$J$52,"",IF(G58&gt;$J$54,"",VLOOKUP(G58,SBPE_Mensal!$A$20:$G$591,7)))</f>
        <v>762004.38500000001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Set-25</v>
      </c>
      <c r="C19" s="109">
        <f>IF($G59&lt;$J$52,"",IF($G59&gt;$J$54,"",VLOOKUP($G59,SBPE_Mensal!$A$20:$G$591,2)))</f>
        <v>305668.64199999999</v>
      </c>
      <c r="D19" s="110">
        <f>IF(G59&lt;$J$52,"",IF(G59&gt;$J$54,"",VLOOKUP(G59,SBPE_Mensal!$A$20:$G$591,3)))</f>
        <v>317389.94</v>
      </c>
      <c r="E19" s="109">
        <f>IF(G59&lt;$J$52,"",IF(G59&gt;$J$54,"",VLOOKUP(G59,SBPE_Mensal!$A$20:$G$591,4)))</f>
        <v>-11721.29800000001</v>
      </c>
      <c r="F19" s="111">
        <f>IF(G59&lt;$J$52,"",IF(G59&gt;$J$54,"",VLOOKUP(G59,SBPE_Mensal!$A$20:$G$591,5)))</f>
        <v>-1.5382192321636063</v>
      </c>
      <c r="G19" s="110">
        <f>IF(G59&lt;$J$52,"",IF(G59&gt;$J$54,"",VLOOKUP(G59,SBPE_Mensal!$A$20:$G$591,6)))</f>
        <v>4784.9170000000004</v>
      </c>
      <c r="H19" s="109">
        <f>IF(G59&lt;$J$52,"",IF(G59&gt;$J$54,"",VLOOKUP(G59,SBPE_Mensal!$A$20:$G$591,7)))</f>
        <v>755068.00100000005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Out-25</v>
      </c>
      <c r="C20" s="109">
        <f>IF($G60&lt;$J$52,"",IF($G60&gt;$J$54,"",VLOOKUP($G60,SBPE_Mensal!$A$20:$G$591,2)))</f>
        <v>301645.95600000001</v>
      </c>
      <c r="D20" s="110">
        <f>IF(G60&lt;$J$52,"",IF(G60&gt;$J$54,"",VLOOKUP(G60,SBPE_Mensal!$A$20:$G$591,3)))</f>
        <v>308529.32199999999</v>
      </c>
      <c r="E20" s="109">
        <f>IF(G60&lt;$J$52,"",IF(G60&gt;$J$54,"",VLOOKUP(G60,SBPE_Mensal!$A$20:$G$591,4)))</f>
        <v>-6883.36599999998</v>
      </c>
      <c r="F20" s="111">
        <f>IF(G60&lt;$J$52,"",IF(G60&gt;$J$54,"",VLOOKUP(G60,SBPE_Mensal!$A$20:$G$591,5)))</f>
        <v>-0.91162199840064195</v>
      </c>
      <c r="G20" s="110">
        <f>IF(G60&lt;$J$52,"",IF(G60&gt;$J$54,"",VLOOKUP(G60,SBPE_Mensal!$A$20:$G$591,6)))</f>
        <v>4803.9970000000003</v>
      </c>
      <c r="H20" s="109">
        <f>IF(G60&lt;$J$52,"",IF(G60&gt;$J$54,"",VLOOKUP(G60,SBPE_Mensal!$A$20:$G$591,7)))</f>
        <v>752988.63500000001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Nov-25</v>
      </c>
      <c r="C21" s="109">
        <f>IF($G61&lt;$J$52,"",IF($G61&gt;$J$54,"",VLOOKUP($G61,SBPE_Mensal!$A$20:$G$591,2)))</f>
        <v>0</v>
      </c>
      <c r="D21" s="110">
        <f>IF(G61&lt;$J$52,"",IF(G61&gt;$J$54,"",VLOOKUP(G61,SBPE_Mensal!$A$20:$G$591,3)))</f>
        <v>0</v>
      </c>
      <c r="E21" s="109">
        <f>IF(G61&lt;$J$52,"",IF(G61&gt;$J$54,"",VLOOKUP(G61,SBPE_Mensal!$A$20:$G$591,4)))</f>
        <v>0</v>
      </c>
      <c r="F21" s="111">
        <f>IF(G61&lt;$J$52,"",IF(G61&gt;$J$54,"",VLOOKUP(G61,SBPE_Mensal!$A$20:$G$591,5)))</f>
        <v>0</v>
      </c>
      <c r="G21" s="110">
        <f>IF(G61&lt;$J$52,"",IF(G61&gt;$J$54,"",VLOOKUP(G61,SBPE_Mensal!$A$20:$G$591,6)))</f>
        <v>0</v>
      </c>
      <c r="H21" s="109">
        <f>IF(G61&lt;$J$52,"",IF(G61&gt;$J$54,"",VLOOKUP(G61,SBPE_Mensal!$A$20:$G$591,7)))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Dez-25</v>
      </c>
      <c r="C22" s="109">
        <f>IF($G62&lt;$J$52,"",IF($G62&gt;$J$54,"",VLOOKUP($G62,SBPE_Mensal!$A$20:$G$591,2)))</f>
        <v>0</v>
      </c>
      <c r="D22" s="110">
        <f>IF(G62&lt;$J$52,"",IF(G62&gt;$J$54,"",VLOOKUP(G62,SBPE_Mensal!$A$20:$G$591,3)))</f>
        <v>0</v>
      </c>
      <c r="E22" s="109">
        <f>IF(G62&lt;$J$52,"",IF(G62&gt;$J$54,"",VLOOKUP(G62,SBPE_Mensal!$A$20:$G$591,4)))</f>
        <v>0</v>
      </c>
      <c r="F22" s="111" t="str">
        <f>IF(G62&lt;$J$52,"",IF(G62&gt;$J$54,"",VLOOKUP(G62,SBPE_Mensal!$A$20:$G$591,5)))</f>
        <v/>
      </c>
      <c r="G22" s="110">
        <f>IF(G62&lt;$J$52,"",IF(G62&gt;$J$54,"",VLOOKUP(G62,SBPE_Mensal!$A$20:$G$591,6)))</f>
        <v>0</v>
      </c>
      <c r="H22" s="109">
        <f>IF(G62&lt;$J$52,"",IF(G62&gt;$J$54,"",VLOOKUP(G62,SBPE_Mensal!$A$20:$G$591,7)))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Total.2025</v>
      </c>
      <c r="C23" s="116">
        <f>SUM(C11:C22)</f>
        <v>3009796.3999999994</v>
      </c>
      <c r="D23" s="116">
        <f>SUM(D11:D22)</f>
        <v>3076739.0940000005</v>
      </c>
      <c r="E23" s="117">
        <f>SUM(E11:E22)</f>
        <v>-66942.693999999959</v>
      </c>
      <c r="F23" s="118">
        <f>_xlfn.XLOOKUP(B23,SBPE_Mensal!$A$8:$A$591,SBPE_Mensal!$E$8:$E$591)</f>
        <v>-8.6547278109275627</v>
      </c>
      <c r="G23" s="116">
        <f>SUM(G11:G22)</f>
        <v>46450.131000000008</v>
      </c>
      <c r="H23" s="116">
        <f>VLOOKUP(B23,SBPE_Mensal!A20:G591,7)</f>
        <v>752988.63500000001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-20304.088999999978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-25362.532999999996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-34601.108000000007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>
        <f>IF(E14&lt;&gt;0,M31+E14,"")</f>
        <v>-38940.785000000033</v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>
        <f t="shared" ref="M33:M40" si="0">IF(E15&lt;&gt;0,M32+E15,"")</f>
        <v>-39069.431000000041</v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>
        <f t="shared" si="0"/>
        <v>-38396.008000000031</v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>
        <f t="shared" si="0"/>
        <v>-43665.190999999992</v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>
        <f t="shared" si="0"/>
        <v>-48338.02999999997</v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>
        <f t="shared" si="0"/>
        <v>-60059.32799999998</v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>
        <f t="shared" si="0"/>
        <v>-66942.693999999959</v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1/1/2025</v>
      </c>
      <c r="G51" s="139">
        <f t="shared" ref="G51:G59" si="1">DATE(RIGHT(F51,4),MID(F51,3,1),LEFT(F51,1))</f>
        <v>45658</v>
      </c>
      <c r="H51" s="140">
        <v>2024</v>
      </c>
      <c r="I51" s="140" t="s">
        <v>13</v>
      </c>
      <c r="J51" s="137"/>
      <c r="K51" s="137">
        <v>1995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1/2/2025</v>
      </c>
      <c r="G52" s="139">
        <f t="shared" si="1"/>
        <v>45689</v>
      </c>
      <c r="H52" s="142" t="str">
        <f>CONCATENATE("1","/","12","/",$H$51)</f>
        <v>1/12/2024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1/3/2025</v>
      </c>
      <c r="G53" s="139">
        <f t="shared" si="1"/>
        <v>45717</v>
      </c>
      <c r="H53" s="143">
        <f>DATE(RIGHT(H52,4),MID(H52,3,2),LEFT(H52,1))</f>
        <v>45627</v>
      </c>
      <c r="I53" s="140" t="s">
        <v>15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1/4/2025</v>
      </c>
      <c r="G54" s="139">
        <f t="shared" si="1"/>
        <v>45748</v>
      </c>
      <c r="H54" s="137"/>
      <c r="J54" s="143">
        <v>45992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1/5/2025</v>
      </c>
      <c r="G55" s="139">
        <f t="shared" si="1"/>
        <v>45778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1/6/2025</v>
      </c>
      <c r="G56" s="139">
        <f t="shared" si="1"/>
        <v>45809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1/7/2025</v>
      </c>
      <c r="G57" s="139">
        <f t="shared" si="1"/>
        <v>45839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1/8/2025</v>
      </c>
      <c r="G58" s="139">
        <f t="shared" si="1"/>
        <v>45870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1/9/2025</v>
      </c>
      <c r="G59" s="139">
        <f t="shared" si="1"/>
        <v>45901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1/10/2025</v>
      </c>
      <c r="G60" s="139">
        <f>DATE(RIGHT(F60,4),MID(F60,3,2),LEFT(F60,1))</f>
        <v>45931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1/11/2025</v>
      </c>
      <c r="G61" s="139">
        <f>DATE(RIGHT(F61,4),MID(F61,3,2),LEFT(F61,1))</f>
        <v>45962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1/12/2025</v>
      </c>
      <c r="G62" s="139">
        <f>DATE(RIGHT(F62,4),MID(F62,3,2),LEFT(F62,1))</f>
        <v>45992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Total.2025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>
      <c r="E80" s="137">
        <v>2024</v>
      </c>
      <c r="K80" s="137">
        <v>2024</v>
      </c>
    </row>
    <row r="81" spans="5:11" hidden="1" x14ac:dyDescent="0.2">
      <c r="E81" s="137">
        <v>2025</v>
      </c>
      <c r="K81" s="137">
        <v>2025</v>
      </c>
    </row>
    <row r="82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96"/>
  <sheetViews>
    <sheetView showGridLines="0" zoomScaleNormal="100" workbookViewId="0">
      <pane ySplit="6" topLeftCell="A539" activePane="bottomLeft" state="frozen"/>
      <selection activeCell="E491" sqref="E491"/>
      <selection pane="bottomLeft" activeCell="M591" sqref="M591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590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90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outlineLevel="1" x14ac:dyDescent="0.2">
      <c r="A589" s="93">
        <v>45962</v>
      </c>
      <c r="B589" s="86"/>
      <c r="C589" s="86"/>
      <c r="D589" s="86">
        <f t="shared" si="108"/>
        <v>0</v>
      </c>
      <c r="E589" s="92">
        <f t="shared" si="109"/>
        <v>0</v>
      </c>
      <c r="F589" s="86"/>
      <c r="G589" s="86"/>
      <c r="I589" s="1" t="s">
        <v>50</v>
      </c>
      <c r="J589" s="1" t="s">
        <v>51</v>
      </c>
      <c r="K589" s="1" t="s">
        <v>31</v>
      </c>
    </row>
    <row r="590" spans="1:12" outlineLevel="1" x14ac:dyDescent="0.2">
      <c r="A590" s="93">
        <v>45992</v>
      </c>
      <c r="B590" s="86"/>
      <c r="C590" s="86"/>
      <c r="D590" s="86">
        <f t="shared" si="108"/>
        <v>0</v>
      </c>
      <c r="E590" s="92" t="str">
        <f t="shared" si="109"/>
        <v/>
      </c>
      <c r="F590" s="86"/>
      <c r="G590" s="86"/>
      <c r="I590" s="1" t="s">
        <v>50</v>
      </c>
      <c r="J590" s="1" t="s">
        <v>51</v>
      </c>
      <c r="K590" s="1" t="s">
        <v>31</v>
      </c>
    </row>
    <row r="591" spans="1:12" x14ac:dyDescent="0.2">
      <c r="A591" s="83" t="s">
        <v>134</v>
      </c>
      <c r="B591" s="84">
        <f>SUM(B579:B590)</f>
        <v>3009796.3999999994</v>
      </c>
      <c r="C591" s="84">
        <f>SUM(C579:C590)</f>
        <v>3076739.0940000005</v>
      </c>
      <c r="D591" s="84">
        <f>SUM(D579:D590)</f>
        <v>-66942.693999999959</v>
      </c>
      <c r="E591" s="91">
        <f>(D591/G578*100)</f>
        <v>-8.6547278109275627</v>
      </c>
      <c r="F591" s="84">
        <f>SUM(F579:F590)</f>
        <v>46450.131000000008</v>
      </c>
      <c r="G591" s="85">
        <f>IFERROR(INDEX($G$579:$G$590,COUNTA($G$579:$G$590)),0)</f>
        <v>752988.63500000001</v>
      </c>
    </row>
    <row r="592" spans="1:12" x14ac:dyDescent="0.2">
      <c r="A592" s="49" t="s">
        <v>12</v>
      </c>
      <c r="B592" s="4"/>
      <c r="C592" s="4"/>
      <c r="D592" s="17"/>
      <c r="E592" s="5"/>
      <c r="F592" s="4"/>
      <c r="G592" s="4"/>
      <c r="L592" s="1"/>
    </row>
    <row r="593" spans="1:12" ht="5.25" customHeight="1" x14ac:dyDescent="0.2">
      <c r="A593" s="18"/>
      <c r="B593" s="4"/>
      <c r="C593" s="4"/>
      <c r="D593" s="17"/>
      <c r="E593" s="5"/>
      <c r="F593" s="4"/>
      <c r="G593" s="4"/>
      <c r="L593" s="1"/>
    </row>
    <row r="594" spans="1:12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  <c r="L594" s="1"/>
    </row>
    <row r="595" spans="1:12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  <c r="L595" s="1"/>
    </row>
    <row r="596" spans="1:12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  <c r="L596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598"/>
  <sheetViews>
    <sheetView showGridLines="0" zoomScaleNormal="100" workbookViewId="0">
      <pane ySplit="6" topLeftCell="A539" activePane="bottomLeft" state="frozen"/>
      <selection activeCell="B491" sqref="B491:C491"/>
      <selection pane="bottomLeft" activeCell="I590" sqref="I590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590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outlineLevel="1" x14ac:dyDescent="0.2">
      <c r="A589" s="15">
        <v>45962</v>
      </c>
      <c r="B589" s="4"/>
      <c r="C589" s="4"/>
      <c r="D589" s="4">
        <f t="shared" si="61"/>
        <v>0</v>
      </c>
      <c r="E589" s="92">
        <f t="shared" si="62"/>
        <v>0</v>
      </c>
      <c r="F589" s="4"/>
      <c r="G589" s="4"/>
    </row>
    <row r="590" spans="1:10" outlineLevel="1" x14ac:dyDescent="0.2">
      <c r="A590" s="15">
        <v>45992</v>
      </c>
      <c r="B590" s="4"/>
      <c r="C590" s="4"/>
      <c r="D590" s="4">
        <f t="shared" si="61"/>
        <v>0</v>
      </c>
      <c r="E590" s="92" t="str">
        <f t="shared" si="62"/>
        <v/>
      </c>
      <c r="F590" s="4"/>
      <c r="G590" s="4"/>
    </row>
    <row r="591" spans="1:10" x14ac:dyDescent="0.2">
      <c r="A591" s="16" t="s">
        <v>134</v>
      </c>
      <c r="B591" s="12">
        <f>SUM(B579:B590)</f>
        <v>487941.61599999998</v>
      </c>
      <c r="C591" s="12">
        <f>SUM(C579:C590)</f>
        <v>509120.30999999994</v>
      </c>
      <c r="D591" s="146">
        <f>SUM(D579:D590)</f>
        <v>-21178.69400000001</v>
      </c>
      <c r="E591" s="91">
        <f>(D591/G578*100)</f>
        <v>-8.1969729754215717</v>
      </c>
      <c r="F591" s="12">
        <f>SUM(F579:F590)</f>
        <v>16620.602999999999</v>
      </c>
      <c r="G591" s="14">
        <f>IFERROR(INDEX($G$579:$G$590,COUNTA($G$579:$G$590)),0)</f>
        <v>253814.046</v>
      </c>
    </row>
    <row r="592" spans="1:10" x14ac:dyDescent="0.2">
      <c r="A592" s="49" t="s">
        <v>12</v>
      </c>
      <c r="B592" s="4"/>
      <c r="C592" s="4"/>
      <c r="D592" s="17"/>
      <c r="E592" s="5"/>
      <c r="F592" s="4"/>
      <c r="G592" s="4"/>
    </row>
    <row r="593" spans="1:7" ht="5.25" customHeight="1" x14ac:dyDescent="0.2">
      <c r="A593" s="18"/>
      <c r="B593" s="4"/>
      <c r="C593" s="4"/>
      <c r="D593" s="17"/>
      <c r="E593" s="5"/>
      <c r="F593" s="4"/>
      <c r="G593" s="4"/>
    </row>
    <row r="594" spans="1:7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</row>
    <row r="595" spans="1:7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</row>
    <row r="596" spans="1:7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</row>
    <row r="597" spans="1:7" ht="4.5" customHeight="1" x14ac:dyDescent="0.2">
      <c r="B597" s="1"/>
      <c r="C597" s="1"/>
      <c r="D597" s="1"/>
      <c r="E597" s="1"/>
    </row>
    <row r="598" spans="1:7" x14ac:dyDescent="0.2">
      <c r="B598" s="1"/>
      <c r="C598" s="1"/>
      <c r="D598" s="1"/>
      <c r="E598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3"/>
  <sheetViews>
    <sheetView showGridLines="0" zoomScaleNormal="100" workbookViewId="0">
      <pane xSplit="1" ySplit="8" topLeftCell="B36" activePane="bottomRight" state="frozen"/>
      <selection pane="topRight" activeCell="B491" sqref="B491:C491"/>
      <selection pane="bottomLeft" activeCell="B491" sqref="B491:C491"/>
      <selection pane="bottomRight" activeCell="P42" sqref="P42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135</v>
      </c>
      <c r="B40" s="30">
        <f>SBPE_Mensal!G591</f>
        <v>752988.63500000001</v>
      </c>
      <c r="C40" s="70">
        <f>B40/B39-1</f>
        <v>-2.6493962037606789E-2</v>
      </c>
      <c r="D40" s="43">
        <f>SBPE_Mensal!D591</f>
        <v>-66942.693999999959</v>
      </c>
      <c r="E40" s="149">
        <f>D40/B39</f>
        <v>-8.6547278109275622E-2</v>
      </c>
      <c r="F40" s="30">
        <f>Rural_Mensal!G591</f>
        <v>253814.046</v>
      </c>
      <c r="G40" s="70">
        <f t="shared" ref="G40" si="54">F40/F39-1</f>
        <v>-1.7641561918592896E-2</v>
      </c>
      <c r="H40" s="43">
        <f>Rural_Mensal!D591</f>
        <v>-21178.69400000001</v>
      </c>
      <c r="I40" s="149">
        <f t="shared" ref="I40" si="55">H40/F39</f>
        <v>-8.1969729754215723E-2</v>
      </c>
      <c r="J40" s="30">
        <f>SUM(B40,F40)</f>
        <v>1006802.681</v>
      </c>
      <c r="K40" s="70">
        <f t="shared" ref="K40" si="56">J40/J39-1</f>
        <v>-2.4277354893234127E-2</v>
      </c>
      <c r="L40" s="43">
        <f t="shared" ref="L40" si="57">SUM(D40,H40)</f>
        <v>-88121.387999999977</v>
      </c>
      <c r="M40" s="149">
        <f>L40/J39</f>
        <v>-8.5401077502533576E-2</v>
      </c>
    </row>
    <row r="41" spans="1:13" x14ac:dyDescent="0.25">
      <c r="A41" s="95"/>
      <c r="B41" s="96"/>
      <c r="C41" s="97"/>
      <c r="D41" s="98"/>
      <c r="E41" s="99"/>
      <c r="F41" s="96"/>
      <c r="G41" s="97"/>
      <c r="H41" s="98"/>
      <c r="I41" s="100"/>
      <c r="J41" s="96"/>
      <c r="K41" s="101"/>
      <c r="L41" s="98"/>
      <c r="M41" s="99"/>
    </row>
    <row r="42" spans="1:13" x14ac:dyDescent="0.25">
      <c r="A42" s="151" t="s">
        <v>12</v>
      </c>
      <c r="B42" s="152"/>
      <c r="C42" s="45"/>
      <c r="D42" s="44"/>
      <c r="E42" s="45"/>
      <c r="F42" s="44"/>
      <c r="G42" s="45"/>
      <c r="H42" s="44"/>
      <c r="I42" s="45"/>
      <c r="J42" s="44"/>
      <c r="K42" s="45"/>
      <c r="L42" s="44"/>
      <c r="M42" s="45"/>
    </row>
    <row r="43" spans="1:13" x14ac:dyDescent="0.25">
      <c r="A43" s="52" t="s">
        <v>136</v>
      </c>
      <c r="D43" s="7"/>
      <c r="F43" s="7"/>
      <c r="H43" s="7"/>
      <c r="J43" s="7"/>
      <c r="L43" s="7"/>
    </row>
    <row r="44" spans="1:13" x14ac:dyDescent="0.25">
      <c r="A44" s="46" t="s">
        <v>126</v>
      </c>
    </row>
    <row r="45" spans="1:13" x14ac:dyDescent="0.25">
      <c r="A45" s="46" t="s">
        <v>127</v>
      </c>
    </row>
    <row r="46" spans="1:13" x14ac:dyDescent="0.25">
      <c r="A46" s="46" t="s">
        <v>128</v>
      </c>
    </row>
    <row r="47" spans="1:13" x14ac:dyDescent="0.25">
      <c r="A47" s="46" t="s">
        <v>129</v>
      </c>
    </row>
    <row r="48" spans="1:13" x14ac:dyDescent="0.25">
      <c r="A48" s="46" t="s">
        <v>130</v>
      </c>
    </row>
    <row r="49" spans="1:1" x14ac:dyDescent="0.25">
      <c r="A49" s="7" t="s">
        <v>131</v>
      </c>
    </row>
    <row r="64" spans="1:1" x14ac:dyDescent="0.25">
      <c r="A64" s="49"/>
    </row>
    <row r="83" spans="3:3" x14ac:dyDescent="0.25">
      <c r="C83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63794cd106db8aa4942399aeeec7af88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98ddc0eabefbd5443d84cb6e558a7d92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83142-55CA-4180-9AA8-15EA97B268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e50f6f7-abf6-49b9-b4c9-2ea63774b93b"/>
    <ds:schemaRef ds:uri="f4bcf983-2136-4c42-9108-b73acbb23e9e"/>
  </ds:schemaRefs>
</ds:datastoreItem>
</file>

<file path=customXml/itemProps2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D83457-61A4-4EA5-AEFB-11EA73823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2025-10-08T14:09:14Z</cp:lastPrinted>
  <dcterms:created xsi:type="dcterms:W3CDTF">2001-08-07T17:49:36Z</dcterms:created>
  <dcterms:modified xsi:type="dcterms:W3CDTF">2025-11-07T13:59:30Z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