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375" documentId="8_{D8734491-5A02-42EC-A50D-4F1F64464919}" xr6:coauthVersionLast="47" xr6:coauthVersionMax="47" xr10:uidLastSave="{008A5833-F235-4E7A-A7EC-107CDBA61C34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Rural_Mensal!$A$1:$H$610</definedName>
    <definedName name="_xlnm.Print_Area" localSheetId="0">SBPE!$A$1:$Q$81</definedName>
    <definedName name="_xlnm.Print_Area" localSheetId="1">SBPE_Mensal!$A$1:$H$531</definedName>
    <definedName name="_xlnm.Print_Area" localSheetId="3">Total_Anual!$A$1:$M$64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0" l="1"/>
  <c r="E604" i="7"/>
  <c r="E604" i="1" l="1"/>
  <c r="D603" i="7"/>
  <c r="D602" i="7"/>
  <c r="D601" i="7"/>
  <c r="D600" i="7"/>
  <c r="D599" i="7"/>
  <c r="D598" i="7"/>
  <c r="D597" i="7"/>
  <c r="D596" i="7"/>
  <c r="D595" i="7"/>
  <c r="D594" i="7"/>
  <c r="D593" i="7"/>
  <c r="D592" i="7"/>
  <c r="P4" i="11" l="1"/>
  <c r="H52" i="11" l="1"/>
  <c r="H53" i="11" s="1"/>
  <c r="F51" i="11"/>
  <c r="G51" i="11" s="1"/>
  <c r="G11" i="11" s="1"/>
  <c r="J52" i="11"/>
  <c r="E603" i="7"/>
  <c r="E602" i="7"/>
  <c r="E601" i="7"/>
  <c r="E600" i="7"/>
  <c r="E599" i="7"/>
  <c r="E598" i="7"/>
  <c r="E597" i="7"/>
  <c r="E596" i="7"/>
  <c r="E595" i="7"/>
  <c r="E594" i="7"/>
  <c r="E593" i="7"/>
  <c r="E592" i="7"/>
  <c r="G604" i="7"/>
  <c r="F41" i="10" s="1"/>
  <c r="G604" i="1"/>
  <c r="B41" i="10" s="1"/>
  <c r="F604" i="7"/>
  <c r="D604" i="7"/>
  <c r="H41" i="10" s="1"/>
  <c r="C604" i="7"/>
  <c r="B604" i="7"/>
  <c r="F604" i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C604" i="1"/>
  <c r="B604" i="1"/>
  <c r="G591" i="7"/>
  <c r="F40" i="10" s="1"/>
  <c r="G591" i="1"/>
  <c r="B40" i="10" s="1"/>
  <c r="B11" i="11" l="1"/>
  <c r="C4" i="11"/>
  <c r="F11" i="11"/>
  <c r="E11" i="11"/>
  <c r="D11" i="11"/>
  <c r="C11" i="11"/>
  <c r="H11" i="11"/>
  <c r="J41" i="10"/>
  <c r="G41" i="10"/>
  <c r="I41" i="10"/>
  <c r="D604" i="1"/>
  <c r="J40" i="10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E579" i="7" s="1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K41" i="10" l="1"/>
  <c r="D41" i="10"/>
  <c r="B39" i="10"/>
  <c r="J39" i="10" s="1"/>
  <c r="K40" i="10" s="1"/>
  <c r="D591" i="7"/>
  <c r="E591" i="7" s="1"/>
  <c r="D591" i="1"/>
  <c r="E591" i="1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41" i="10" l="1"/>
  <c r="M41" i="10" s="1"/>
  <c r="E41" i="10"/>
  <c r="C40" i="10"/>
  <c r="C39" i="10"/>
  <c r="H40" i="10"/>
  <c r="I40" i="10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4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F64" i="11" l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H23" i="11" l="1"/>
  <c r="F23" i="11"/>
  <c r="D34" i="10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C331" i="7"/>
  <c r="B331" i="7"/>
  <c r="G318" i="7"/>
  <c r="E319" i="7" s="1"/>
  <c r="D318" i="7"/>
  <c r="C318" i="7"/>
  <c r="B318" i="7"/>
  <c r="G305" i="7"/>
  <c r="E306" i="7" s="1"/>
  <c r="D305" i="7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F429" i="7"/>
  <c r="F445" i="7"/>
  <c r="E331" i="7" l="1"/>
  <c r="E305" i="7"/>
  <c r="F430" i="1"/>
  <c r="E357" i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7" i="11" l="1"/>
  <c r="C17" i="11"/>
  <c r="D17" i="11"/>
  <c r="G17" i="11"/>
  <c r="E17" i="11"/>
  <c r="F17" i="11"/>
  <c r="F16" i="11"/>
  <c r="E16" i="11"/>
  <c r="C16" i="11"/>
  <c r="D16" i="11"/>
  <c r="H16" i="11"/>
  <c r="G16" i="11"/>
  <c r="E13" i="11"/>
  <c r="C13" i="11"/>
  <c r="F13" i="11"/>
  <c r="H13" i="11"/>
  <c r="D13" i="11"/>
  <c r="G13" i="11"/>
  <c r="G21" i="11"/>
  <c r="E21" i="11"/>
  <c r="C21" i="11"/>
  <c r="H21" i="11"/>
  <c r="F21" i="11"/>
  <c r="D21" i="11"/>
  <c r="C20" i="11"/>
  <c r="F20" i="11"/>
  <c r="D20" i="11"/>
  <c r="G20" i="11"/>
  <c r="E20" i="11"/>
  <c r="H20" i="11"/>
  <c r="G19" i="11"/>
  <c r="H19" i="11"/>
  <c r="C19" i="11"/>
  <c r="D19" i="11"/>
  <c r="E19" i="11"/>
  <c r="F19" i="11"/>
  <c r="E14" i="11"/>
  <c r="C14" i="11"/>
  <c r="H14" i="11"/>
  <c r="F14" i="11"/>
  <c r="D14" i="11"/>
  <c r="G14" i="11"/>
  <c r="C15" i="11"/>
  <c r="F15" i="11"/>
  <c r="D15" i="11"/>
  <c r="G15" i="11"/>
  <c r="E15" i="11"/>
  <c r="H15" i="11"/>
  <c r="D22" i="11"/>
  <c r="G22" i="11"/>
  <c r="E22" i="11"/>
  <c r="H22" i="11"/>
  <c r="C22" i="11"/>
  <c r="F22" i="11"/>
  <c r="C12" i="11"/>
  <c r="H12" i="11"/>
  <c r="F12" i="11"/>
  <c r="G12" i="11"/>
  <c r="D12" i="11"/>
  <c r="E12" i="11"/>
  <c r="C18" i="11"/>
  <c r="G18" i="11"/>
  <c r="E18" i="11"/>
  <c r="F18" i="11"/>
  <c r="H18" i="11"/>
  <c r="D18" i="11"/>
  <c r="M29" i="11"/>
  <c r="I24" i="10"/>
  <c r="J23" i="10"/>
  <c r="K23" i="10" s="1"/>
  <c r="L24" i="10"/>
  <c r="C25" i="10"/>
  <c r="E25" i="10"/>
  <c r="J24" i="10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C23" i="11" l="1"/>
  <c r="K24" i="10"/>
  <c r="M24" i="10"/>
  <c r="K25" i="10"/>
  <c r="K27" i="10"/>
  <c r="K32" i="10"/>
  <c r="M32" i="10"/>
  <c r="E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<sst xmlns="http://schemas.openxmlformats.org/spreadsheetml/2006/main" count="1920" uniqueCount="139">
  <si>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</si>
  <si>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</si>
  <si>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</si>
  <si>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</si>
  <si>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</si>
  <si>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</si>
  <si>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</si>
  <si>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</si>
  <si>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</si>
  <si>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</si>
  <si>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</si>
  <si>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</si>
  <si>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</si>
  <si>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</si>
  <si>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</si>
  <si>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</si>
  <si>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</si>
  <si>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</si>
  <si>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</si>
  <si>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</si>
  <si>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</si>
  <si>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</si>
  <si>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</si>
  <si>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</si>
  <si>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</si>
  <si>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</si>
  <si>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</si>
  <si>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</si>
  <si>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</si>
  <si>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</si>
  <si>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</si>
  <si>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</si>
  <si>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</si>
  <si>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</si>
  <si>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</si>
  <si>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</si>
  <si>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</si>
  <si>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</si>
  <si>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</si>
  <si>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</si>
  <si>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</si>
  <si>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</si>
  <si>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</si>
  <si>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</si>
  <si>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</si>
  <si>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</si>
  <si>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</si>
  <si>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</si>
  <si>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</si>
  <si>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</si>
  <si>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</si>
  <si>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</si>
  <si>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</si>
  <si>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</si>
  <si>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</si>
  <si>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</si>
  <si>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</si>
  <si>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</si>
  <si>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</si>
  <si>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</si>
  <si>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</si>
  <si>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</si>
  <si>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</si>
  <si>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</si>
  <si>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</si>
  <si>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</si>
  <si>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</si>
  <si>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</si>
  <si>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</si>
  <si>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</si>
  <si>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</si>
  <si>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</si>
  <si>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</si>
  <si>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</si>
  <si>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</si>
  <si>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</si>
  <si>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</si>
  <si>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</si>
  <si>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</si>
  <si>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</si>
  <si>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</si>
  <si>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</si>
  <si>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</si>
  <si>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</si>
  <si>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</si>
  <si>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</si>
  <si>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</si>
  <si>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</si>
  <si>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</si>
  <si>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</si>
  <si>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</si>
  <si>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</si>
  <si>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</si>
  <si>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</si>
  <si>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</si>
  <si>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</si>
  <si>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</si>
  <si>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</si>
  <si>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</si>
  <si>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</si>
  <si>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</si>
  <si>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</si>
  <si>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</si>
  <si>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</si>
  <si>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</si>
  <si>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</si>
  <si>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</si>
  <si>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</si>
  <si>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</si>
  <si>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</si>
  <si>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</si>
  <si>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</si>
  <si>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</si>
  <si>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</si>
  <si>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</si>
  <si>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</si>
  <si>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</si>
  <si>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</si>
  <si>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</si>
  <si>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</si>
  <si>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</si>
  <si>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</si>
  <si>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</si>
  <si>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</si>
  <si>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</si>
  <si>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</si>
  <si>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</si>
  <si>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</si>
  <si>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</si>
  <si>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</si>
  <si>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</si>
  <si>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</si>
  <si>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</si>
  <si>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</si>
  <si>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</si>
  <si>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Total.2026</t>
  </si>
  <si>
    <t>2026*</t>
  </si>
  <si>
    <t>2025</t>
  </si>
  <si>
    <t>Obs: 2026* valores até fevereiro.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</si>
</sst>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2026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752485.40899999999</c:v>
                </c:pt>
                <c:pt idx="1">
                  <c:v>753033.36800000002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2026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-18807.179000000004</c:v>
                </c:pt>
                <c:pt idx="1">
                  <c:v>-22875.896999999997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Total_Anual!$B$37:$B$41</c:f>
              <c:numCache>
                <c:formatCode>#,##0</c:formatCode>
                <c:ptCount val="5"/>
                <c:pt idx="0">
                  <c:v>763815.06599999999</c:v>
                </c:pt>
                <c:pt idx="1">
                  <c:v>747081.24699999997</c:v>
                </c:pt>
                <c:pt idx="2">
                  <c:v>773481.21699999995</c:v>
                </c:pt>
                <c:pt idx="3">
                  <c:v>766482.27099999995</c:v>
                </c:pt>
                <c:pt idx="4">
                  <c:v>753033.36800000002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Total_Anual!$F$37:$F$41</c:f>
              <c:numCache>
                <c:formatCode>#,##0</c:formatCode>
                <c:ptCount val="5"/>
                <c:pt idx="0">
                  <c:v>235128.245</c:v>
                </c:pt>
                <c:pt idx="1">
                  <c:v>235952.658</c:v>
                </c:pt>
                <c:pt idx="2">
                  <c:v>258372.13399999999</c:v>
                </c:pt>
                <c:pt idx="3">
                  <c:v>255660.87400000001</c:v>
                </c:pt>
                <c:pt idx="4">
                  <c:v>251608.7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Total_Anual!$J$37:$J$41</c:f>
              <c:numCache>
                <c:formatCode>#,##0</c:formatCode>
                <c:ptCount val="5"/>
                <c:pt idx="0">
                  <c:v>998943.31099999999</c:v>
                </c:pt>
                <c:pt idx="1">
                  <c:v>983033.90500000003</c:v>
                </c:pt>
                <c:pt idx="2">
                  <c:v>1031853.3509999999</c:v>
                </c:pt>
                <c:pt idx="3">
                  <c:v>1022143.145</c:v>
                </c:pt>
                <c:pt idx="4">
                  <c:v>1004642.068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Total_Anual!$D$37:$D$41</c:f>
              <c:numCache>
                <c:formatCode>#,##0_);[Red]\(#,##0\)</c:formatCode>
                <c:ptCount val="5"/>
                <c:pt idx="0">
                  <c:v>-80944.485000000015</c:v>
                </c:pt>
                <c:pt idx="1">
                  <c:v>-72393.907000000007</c:v>
                </c:pt>
                <c:pt idx="2">
                  <c:v>-21717.608000000066</c:v>
                </c:pt>
                <c:pt idx="3">
                  <c:v>-62976.96399999992</c:v>
                </c:pt>
                <c:pt idx="4">
                  <c:v>-22875.896999999997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Total_Anual!$H$37:$H$41</c:f>
              <c:numCache>
                <c:formatCode>#,##0_);[Red]\(#,##0\)</c:formatCode>
                <c:ptCount val="5"/>
                <c:pt idx="0">
                  <c:v>-22292.690999999992</c:v>
                </c:pt>
                <c:pt idx="1">
                  <c:v>-15425.218000000001</c:v>
                </c:pt>
                <c:pt idx="2">
                  <c:v>6250.8390000000072</c:v>
                </c:pt>
                <c:pt idx="3">
                  <c:v>-22591.146000000008</c:v>
                </c:pt>
                <c:pt idx="4">
                  <c:v>-7252.5939999999973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Total_Anual!$L$37:$L$41</c:f>
              <c:numCache>
                <c:formatCode>#,##0_);[Red]\(#,##0\)</c:formatCode>
                <c:ptCount val="5"/>
                <c:pt idx="0">
                  <c:v>-103237.17600000001</c:v>
                </c:pt>
                <c:pt idx="1">
                  <c:v>-87819.125</c:v>
                </c:pt>
                <c:pt idx="2">
                  <c:v>-15466.769000000058</c:v>
                </c:pt>
                <c:pt idx="3">
                  <c:v>-85568.109999999928</c:v>
                </c:pt>
                <c:pt idx="4">
                  <c:v>-30128.490999999995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44</xdr:row>
      <xdr:rowOff>38100</xdr:rowOff>
    </xdr:from>
    <xdr:to>
      <xdr:col>6</xdr:col>
      <xdr:colOff>504825</xdr:colOff>
      <xdr:row>63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44</xdr:row>
      <xdr:rowOff>38100</xdr:rowOff>
    </xdr:from>
    <xdr:to>
      <xdr:col>12</xdr:col>
      <xdr:colOff>781050</xdr:colOff>
      <xdr:row>63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J16" sqref="J16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2026</v>
      </c>
      <c r="G4" s="65"/>
      <c r="I4" s="65"/>
      <c r="P4" s="65">
        <f>P3+1995</f>
        <v>2026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2026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2026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Jan-26</v>
      </c>
      <c r="C11" s="109">
        <f>IF($G51&lt;$J$52,"",IF($G51&gt;$J$54,"",VLOOKUP($G51,SBPE_Mensal!$A$20:$G$604,2)))</f>
        <v>286710.94099999999</v>
      </c>
      <c r="D11" s="110">
        <f>IF(G51&lt;$J$52,"",IF(G51&gt;$J$54,"",VLOOKUP(G51,SBPE_Mensal!$A$20:$G$604,3)))</f>
        <v>305518.12</v>
      </c>
      <c r="E11" s="109">
        <f>IF(G51&lt;$J$52,"",IF(G51&gt;$J$54,"",VLOOKUP(G51,SBPE_Mensal!$A$20:$G$604,4)))</f>
        <v>-18807.179000000004</v>
      </c>
      <c r="F11" s="111">
        <f>IF(G51&lt;$J$52,"",IF(G51&gt;$J$54,"",VLOOKUP(G51,SBPE_Mensal!$A$20:$G$604,5)))</f>
        <v>-2.4537004587807361</v>
      </c>
      <c r="G11" s="110">
        <f>IF(G51&lt;$J$52,"",IF(G51&gt;$J$54,"",VLOOKUP(G51,SBPE_Mensal!$A$20:$G$604,6)))</f>
        <v>4810.3180000000002</v>
      </c>
      <c r="H11" s="109">
        <f>IF(G51&lt;$J$52,"",IF(G51&gt;$J$54,"",VLOOKUP(G51,SBPE_Mensal!$A$20:$G$604,7)))</f>
        <v>752485.40899999999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Fev-26</v>
      </c>
      <c r="C12" s="109">
        <f>IF($G52&lt;$J$52,"",IF($G52&gt;$J$54,"",VLOOKUP($G52,SBPE_Mensal!$A$20:$G$604,2)))</f>
        <v>284664.85499999998</v>
      </c>
      <c r="D12" s="110">
        <f>IF(G52&lt;$J$52,"",IF(G52&gt;$J$54,"",VLOOKUP(G52,SBPE_Mensal!$A$20:$G$604,3)))</f>
        <v>288733.57299999997</v>
      </c>
      <c r="E12" s="109">
        <f>IF(G52&lt;$J$52,"",IF(G52&gt;$J$54,"",VLOOKUP(G52,SBPE_Mensal!$A$20:$G$604,4)))</f>
        <v>-4068.7179999999935</v>
      </c>
      <c r="F12" s="111">
        <f>IF(G52&lt;$J$52,"",IF(G52&gt;$J$54,"",VLOOKUP(G52,SBPE_Mensal!$A$20:$G$604,5)))</f>
        <v>-0.54070390619361408</v>
      </c>
      <c r="G12" s="110">
        <f>IF(G52&lt;$J$52,"",IF(G52&gt;$J$54,"",VLOOKUP(G52,SBPE_Mensal!$A$20:$G$604,6)))</f>
        <v>4616.6790000000001</v>
      </c>
      <c r="H12" s="109">
        <f>IF(G52&lt;$J$52,"",IF(G52&gt;$J$54,"",VLOOKUP(G52,SBPE_Mensal!$A$20:$G$604,7)))</f>
        <v>753033.36800000002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Mar-26</v>
      </c>
      <c r="C13" s="109">
        <f>IF($G53&lt;$J$52,"",IF($G53&gt;$J$54,"",VLOOKUP($G53,SBPE_Mensal!$A$20:$G$604,2)))</f>
        <v>0</v>
      </c>
      <c r="D13" s="110">
        <f>IF(G53&lt;$J$52,"",IF(G53&gt;$J$54,"",VLOOKUP(G53,SBPE_Mensal!$A$20:$G$604,3)))</f>
        <v>0</v>
      </c>
      <c r="E13" s="109">
        <f>IF(G53&lt;$J$52,"",IF(G53&gt;$J$54,"",VLOOKUP(G53,SBPE_Mensal!$A$20:$G$604,4)))</f>
        <v>0</v>
      </c>
      <c r="F13" s="111">
        <f>IF(G53&lt;$J$52,"",IF(G53&gt;$J$54,"",VLOOKUP(G53,SBPE_Mensal!$A$20:$G$604,5)))</f>
        <v>0</v>
      </c>
      <c r="G13" s="110">
        <f>IF(G53&lt;$J$52,"",IF(G53&gt;$J$54,"",VLOOKUP(G53,SBPE_Mensal!$A$20:$G$604,6)))</f>
        <v>0</v>
      </c>
      <c r="H13" s="109">
        <f>IF(G53&lt;$J$52,"",IF(G53&gt;$J$54,"",VLOOKUP(G53,SBPE_Mensal!$A$20:$G$604,7)))</f>
        <v>0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Abr-26</v>
      </c>
      <c r="C14" s="109">
        <f>IF($G54&lt;$J$52,"",IF($G54&gt;$J$54,"",VLOOKUP($G54,SBPE_Mensal!$A$20:$G$604,2)))</f>
        <v>0</v>
      </c>
      <c r="D14" s="110">
        <f>IF(G54&lt;$J$52,"",IF(G54&gt;$J$54,"",VLOOKUP(G54,SBPE_Mensal!$A$20:$G$604,3)))</f>
        <v>0</v>
      </c>
      <c r="E14" s="109">
        <f>IF(G54&lt;$J$52,"",IF(G54&gt;$J$54,"",VLOOKUP(G54,SBPE_Mensal!$A$20:$G$604,4)))</f>
        <v>0</v>
      </c>
      <c r="F14" s="111" t="str">
        <f>IF(G54&lt;$J$52,"",IF(G54&gt;$J$54,"",VLOOKUP(G54,SBPE_Mensal!$A$20:$G$604,5)))</f>
        <v/>
      </c>
      <c r="G14" s="110">
        <f>IF(G54&lt;$J$52,"",IF(G54&gt;$J$54,"",VLOOKUP(G54,SBPE_Mensal!$A$20:$G$604,6)))</f>
        <v>0</v>
      </c>
      <c r="H14" s="109">
        <f>IF(G54&lt;$J$52,"",IF(G54&gt;$J$54,"",VLOOKUP(G54,SBPE_Mensal!$A$20:$G$604,7)))</f>
        <v>0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Mai-26</v>
      </c>
      <c r="C15" s="109">
        <f>IF($G55&lt;$J$52,"",IF($G55&gt;$J$54,"",VLOOKUP($G55,SBPE_Mensal!$A$20:$G$604,2)))</f>
        <v>0</v>
      </c>
      <c r="D15" s="110">
        <f>IF(G55&lt;$J$52,"",IF(G55&gt;$J$54,"",VLOOKUP(G55,SBPE_Mensal!$A$20:$G$604,3)))</f>
        <v>0</v>
      </c>
      <c r="E15" s="109">
        <f>IF(G55&lt;$J$52,"",IF(G55&gt;$J$54,"",VLOOKUP(G55,SBPE_Mensal!$A$20:$G$604,4)))</f>
        <v>0</v>
      </c>
      <c r="F15" s="111" t="str">
        <f>IF(G55&lt;$J$52,"",IF(G55&gt;$J$54,"",VLOOKUP(G55,SBPE_Mensal!$A$20:$G$604,5)))</f>
        <v/>
      </c>
      <c r="G15" s="110">
        <f>IF(G55&lt;$J$52,"",IF(G55&gt;$J$54,"",VLOOKUP(G55,SBPE_Mensal!$A$20:$G$604,6)))</f>
        <v>0</v>
      </c>
      <c r="H15" s="109">
        <f>IF(G55&lt;$J$52,"",IF(G55&gt;$J$54,"",VLOOKUP(G55,SBPE_Mensal!$A$20:$G$604,7)))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Jun-26</v>
      </c>
      <c r="C16" s="109">
        <f>IF($G56&lt;$J$52,"",IF($G56&gt;$J$54,"",VLOOKUP($G56,SBPE_Mensal!$A$20:$G$604,2)))</f>
        <v>0</v>
      </c>
      <c r="D16" s="110">
        <f>IF(G56&lt;$J$52,"",IF(G56&gt;$J$54,"",VLOOKUP(G56,SBPE_Mensal!$A$20:$G$604,3)))</f>
        <v>0</v>
      </c>
      <c r="E16" s="109">
        <f>IF(G56&lt;$J$52,"",IF(G56&gt;$J$54,"",VLOOKUP(G56,SBPE_Mensal!$A$20:$G$604,4)))</f>
        <v>0</v>
      </c>
      <c r="F16" s="111" t="str">
        <f>IF(G56&lt;$J$52,"",IF(G56&gt;$J$54,"",VLOOKUP(G56,SBPE_Mensal!$A$20:$G$604,5)))</f>
        <v/>
      </c>
      <c r="G16" s="110">
        <f>IF(G56&lt;$J$52,"",IF(G56&gt;$J$54,"",VLOOKUP(G56,SBPE_Mensal!$A$20:$G$604,6)))</f>
        <v>0</v>
      </c>
      <c r="H16" s="109">
        <f>IF(G56&lt;$J$52,"",IF(G56&gt;$J$54,"",VLOOKUP(G56,SBPE_Mensal!$A$20:$G$604,7)))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Jul-26</v>
      </c>
      <c r="C17" s="109">
        <f>IF($G57&lt;$J$52,"",IF($G57&gt;$J$54,"",VLOOKUP($G57,SBPE_Mensal!$A$20:$G$604,2)))</f>
        <v>0</v>
      </c>
      <c r="D17" s="110">
        <f>IF(G57&lt;$J$52,"",IF(G57&gt;$J$54,"",VLOOKUP(G57,SBPE_Mensal!$A$20:$G$604,3)))</f>
        <v>0</v>
      </c>
      <c r="E17" s="109">
        <f>IF(G57&lt;$J$52,"",IF(G57&gt;$J$54,"",VLOOKUP(G57,SBPE_Mensal!$A$20:$G$604,4)))</f>
        <v>0</v>
      </c>
      <c r="F17" s="111" t="str">
        <f>IF(G57&lt;$J$52,"",IF(G57&gt;$J$54,"",VLOOKUP(G57,SBPE_Mensal!$A$20:$G$604,5)))</f>
        <v/>
      </c>
      <c r="G17" s="110">
        <f>IF(G57&lt;$J$52,"",IF(G57&gt;$J$54,"",VLOOKUP(G57,SBPE_Mensal!$A$20:$G$604,6)))</f>
        <v>0</v>
      </c>
      <c r="H17" s="109">
        <f>IF(G57&lt;$J$52,"",IF(G57&gt;$J$54,"",VLOOKUP(G57,SBPE_Mensal!$A$20:$G$604,7)))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Ago-26</v>
      </c>
      <c r="C18" s="109">
        <f>IF($G58&lt;$J$52,"",IF($G58&gt;$J$54,"",VLOOKUP($G58,SBPE_Mensal!$A$20:$G$604,2)))</f>
        <v>0</v>
      </c>
      <c r="D18" s="110">
        <f>IF(G58&lt;$J$52,"",IF(G58&gt;$J$54,"",VLOOKUP(G58,SBPE_Mensal!$A$20:$G$604,3)))</f>
        <v>0</v>
      </c>
      <c r="E18" s="109">
        <f>IF(G58&lt;$J$52,"",IF(G58&gt;$J$54,"",VLOOKUP(G58,SBPE_Mensal!$A$20:$G$604,4)))</f>
        <v>0</v>
      </c>
      <c r="F18" s="111" t="str">
        <f>IF(G58&lt;$J$52,"",IF(G58&gt;$J$54,"",VLOOKUP(G58,SBPE_Mensal!$A$20:$G$604,5)))</f>
        <v/>
      </c>
      <c r="G18" s="110">
        <f>IF(G58&lt;$J$52,"",IF(G58&gt;$J$54,"",VLOOKUP(G58,SBPE_Mensal!$A$20:$G$604,6)))</f>
        <v>0</v>
      </c>
      <c r="H18" s="109">
        <f>IF(G58&lt;$J$52,"",IF(G58&gt;$J$54,"",VLOOKUP(G58,SBPE_Mensal!$A$20:$G$604,7)))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Set-26</v>
      </c>
      <c r="C19" s="109">
        <f>IF($G59&lt;$J$52,"",IF($G59&gt;$J$54,"",VLOOKUP($G59,SBPE_Mensal!$A$20:$G$604,2)))</f>
        <v>0</v>
      </c>
      <c r="D19" s="110">
        <f>IF(G59&lt;$J$52,"",IF(G59&gt;$J$54,"",VLOOKUP(G59,SBPE_Mensal!$A$20:$G$604,3)))</f>
        <v>0</v>
      </c>
      <c r="E19" s="109">
        <f>IF(G59&lt;$J$52,"",IF(G59&gt;$J$54,"",VLOOKUP(G59,SBPE_Mensal!$A$20:$G$604,4)))</f>
        <v>0</v>
      </c>
      <c r="F19" s="111" t="str">
        <f>IF(G59&lt;$J$52,"",IF(G59&gt;$J$54,"",VLOOKUP(G59,SBPE_Mensal!$A$20:$G$604,5)))</f>
        <v/>
      </c>
      <c r="G19" s="110">
        <f>IF(G59&lt;$J$52,"",IF(G59&gt;$J$54,"",VLOOKUP(G59,SBPE_Mensal!$A$20:$G$604,6)))</f>
        <v>0</v>
      </c>
      <c r="H19" s="109">
        <f>IF(G59&lt;$J$52,"",IF(G59&gt;$J$54,"",VLOOKUP(G59,SBPE_Mensal!$A$20:$G$604,7)))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Out-26</v>
      </c>
      <c r="C20" s="109">
        <f>IF($G60&lt;$J$52,"",IF($G60&gt;$J$54,"",VLOOKUP($G60,SBPE_Mensal!$A$20:$G$604,2)))</f>
        <v>0</v>
      </c>
      <c r="D20" s="110">
        <f>IF(G60&lt;$J$52,"",IF(G60&gt;$J$54,"",VLOOKUP(G60,SBPE_Mensal!$A$20:$G$604,3)))</f>
        <v>0</v>
      </c>
      <c r="E20" s="109">
        <f>IF(G60&lt;$J$52,"",IF(G60&gt;$J$54,"",VLOOKUP(G60,SBPE_Mensal!$A$20:$G$604,4)))</f>
        <v>0</v>
      </c>
      <c r="F20" s="111" t="str">
        <f>IF(G60&lt;$J$52,"",IF(G60&gt;$J$54,"",VLOOKUP(G60,SBPE_Mensal!$A$20:$G$604,5)))</f>
        <v/>
      </c>
      <c r="G20" s="110">
        <f>IF(G60&lt;$J$52,"",IF(G60&gt;$J$54,"",VLOOKUP(G60,SBPE_Mensal!$A$20:$G$604,6)))</f>
        <v>0</v>
      </c>
      <c r="H20" s="109">
        <f>IF(G60&lt;$J$52,"",IF(G60&gt;$J$54,"",VLOOKUP(G60,SBPE_Mensal!$A$20:$G$604,7)))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Nov-26</v>
      </c>
      <c r="C21" s="109">
        <f>IF($G61&lt;$J$52,"",IF($G61&gt;$J$54,"",VLOOKUP($G61,SBPE_Mensal!$A$20:$G$604,2)))</f>
        <v>0</v>
      </c>
      <c r="D21" s="110">
        <f>IF(G61&lt;$J$52,"",IF(G61&gt;$J$54,"",VLOOKUP(G61,SBPE_Mensal!$A$20:$G$604,3)))</f>
        <v>0</v>
      </c>
      <c r="E21" s="109">
        <f>IF(G61&lt;$J$52,"",IF(G61&gt;$J$54,"",VLOOKUP(G61,SBPE_Mensal!$A$20:$G$604,4)))</f>
        <v>0</v>
      </c>
      <c r="F21" s="111" t="str">
        <f>IF(G61&lt;$J$52,"",IF(G61&gt;$J$54,"",VLOOKUP(G61,SBPE_Mensal!$A$20:$G$604,5)))</f>
        <v/>
      </c>
      <c r="G21" s="110">
        <f>IF(G61&lt;$J$52,"",IF(G61&gt;$J$54,"",VLOOKUP(G61,SBPE_Mensal!$A$20:$G$604,6)))</f>
        <v>0</v>
      </c>
      <c r="H21" s="109">
        <f>IF(G61&lt;$J$52,"",IF(G61&gt;$J$54,"",VLOOKUP(G61,SBPE_Mensal!$A$20:$G$604,7)))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Dez-26</v>
      </c>
      <c r="C22" s="109">
        <f>IF($G62&lt;$J$52,"",IF($G62&gt;$J$54,"",VLOOKUP($G62,SBPE_Mensal!$A$20:$G$604,2)))</f>
        <v>0</v>
      </c>
      <c r="D22" s="110">
        <f>IF(G62&lt;$J$52,"",IF(G62&gt;$J$54,"",VLOOKUP(G62,SBPE_Mensal!$A$20:$G$604,3)))</f>
        <v>0</v>
      </c>
      <c r="E22" s="109">
        <f>IF(G62&lt;$J$52,"",IF(G62&gt;$J$54,"",VLOOKUP(G62,SBPE_Mensal!$A$20:$G$604,4)))</f>
        <v>0</v>
      </c>
      <c r="F22" s="111" t="str">
        <f>IF(G62&lt;$J$52,"",IF(G62&gt;$J$54,"",VLOOKUP(G62,SBPE_Mensal!$A$20:$G$604,5)))</f>
        <v/>
      </c>
      <c r="G22" s="110">
        <f>IF(G62&lt;$J$52,"",IF(G62&gt;$J$54,"",VLOOKUP(G62,SBPE_Mensal!$A$20:$G$604,6)))</f>
        <v>0</v>
      </c>
      <c r="H22" s="109">
        <f>IF(G62&lt;$J$52,"",IF(G62&gt;$J$54,"",VLOOKUP(G62,SBPE_Mensal!$A$20:$G$604,7)))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Total.2026</v>
      </c>
      <c r="C23" s="116">
        <f>SUM(C11:C22)</f>
        <v>571375.79599999997</v>
      </c>
      <c r="D23" s="116">
        <f>SUM(D11:D22)</f>
        <v>594251.69299999997</v>
      </c>
      <c r="E23" s="117">
        <f>SUM(E11:E22)</f>
        <v>-22875.896999999997</v>
      </c>
      <c r="F23" s="118">
        <f>_xlfn.XLOOKUP(B23,SBPE_Mensal!$A$8:$A$604,SBPE_Mensal!$E$8:$E$604)</f>
        <v>-2.9845304797663088</v>
      </c>
      <c r="G23" s="116">
        <f>SUM(G11:G22)</f>
        <v>9426.9969999999994</v>
      </c>
      <c r="H23" s="116">
        <f>VLOOKUP(B23,SBPE_Mensal!A20:G604,7)</f>
        <v>753033.36800000002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-18807.179000000004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-22875.896999999997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 t="str">
        <f>IF(E13&lt;&gt;0,M30+E13,"")</f>
        <v/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 t="str">
        <f>IF(E14&lt;&gt;0,M31+E14,"")</f>
        <v/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1996</v>
      </c>
      <c r="F51" s="138" t="str">
        <f>CONCATENATE("1","/","1","/",$P$4)</f>
        <v>1/1/2026</v>
      </c>
      <c r="G51" s="139">
        <f>DATE(RIGHT(F51,4),MID(F51,3,1),LEFT(F51,1))</f>
        <v>46023</v>
      </c>
      <c r="H51" s="140">
        <v>2025</v>
      </c>
      <c r="I51" s="140" t="s">
        <v>13</v>
      </c>
      <c r="J51" s="137"/>
      <c r="K51" s="137">
        <v>1996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1997</v>
      </c>
      <c r="F52" s="138" t="str">
        <f>CONCATENATE("1","/","2","/",$P$4)</f>
        <v>1/2/2026</v>
      </c>
      <c r="G52" s="139">
        <f t="shared" ref="G52:G59" si="1">DATE(RIGHT(F52,4),MID(F52,3,1),LEFT(F52,1))</f>
        <v>46054</v>
      </c>
      <c r="H52" s="142" t="str">
        <f>CONCATENATE("1","/","12","/",$H$51)</f>
        <v>1/12/2025</v>
      </c>
      <c r="J52" s="143">
        <f>SBPE_Mensal!A20</f>
        <v>29952</v>
      </c>
      <c r="K52" s="137">
        <v>1997</v>
      </c>
      <c r="M52" s="141"/>
      <c r="O52" s="129"/>
      <c r="P52" s="130"/>
      <c r="Q52" s="132"/>
    </row>
    <row r="53" spans="2:17" hidden="1" x14ac:dyDescent="0.2">
      <c r="E53" s="137">
        <v>1998</v>
      </c>
      <c r="F53" s="138" t="str">
        <f>CONCATENATE("1","/","3","/",$P$4)</f>
        <v>1/3/2026</v>
      </c>
      <c r="G53" s="139">
        <f t="shared" si="1"/>
        <v>46082</v>
      </c>
      <c r="H53" s="143">
        <f>DATE(RIGHT(H52,4),MID(H52,3,2),LEFT(H52,1))</f>
        <v>45992</v>
      </c>
      <c r="I53" s="140" t="s">
        <v>15</v>
      </c>
      <c r="J53" s="137"/>
      <c r="K53" s="137">
        <v>1998</v>
      </c>
      <c r="M53" s="141"/>
      <c r="O53" s="129"/>
      <c r="P53" s="130"/>
      <c r="Q53" s="133"/>
    </row>
    <row r="54" spans="2:17" hidden="1" x14ac:dyDescent="0.2">
      <c r="E54" s="137">
        <v>1999</v>
      </c>
      <c r="F54" s="138" t="str">
        <f>CONCATENATE("1","/","4","/",$P$4)</f>
        <v>1/4/2026</v>
      </c>
      <c r="G54" s="139">
        <f t="shared" si="1"/>
        <v>46113</v>
      </c>
      <c r="H54" s="137"/>
      <c r="J54" s="143">
        <v>46357</v>
      </c>
      <c r="K54" s="137">
        <v>1999</v>
      </c>
      <c r="M54" s="141"/>
      <c r="O54" s="129"/>
      <c r="P54" s="130"/>
    </row>
    <row r="55" spans="2:17" hidden="1" x14ac:dyDescent="0.2">
      <c r="E55" s="137">
        <v>2000</v>
      </c>
      <c r="F55" s="138" t="str">
        <f>CONCATENATE("1","/","5","/",$P$4)</f>
        <v>1/5/2026</v>
      </c>
      <c r="G55" s="139">
        <f t="shared" si="1"/>
        <v>46143</v>
      </c>
      <c r="H55" s="137"/>
      <c r="I55" s="137"/>
      <c r="J55" s="137"/>
      <c r="K55" s="137">
        <v>2000</v>
      </c>
      <c r="M55" s="141"/>
      <c r="O55" s="129"/>
      <c r="P55" s="130"/>
    </row>
    <row r="56" spans="2:17" hidden="1" x14ac:dyDescent="0.2">
      <c r="E56" s="137">
        <v>2001</v>
      </c>
      <c r="F56" s="138" t="str">
        <f>CONCATENATE("1","/","6","/",$P$4)</f>
        <v>1/6/2026</v>
      </c>
      <c r="G56" s="139">
        <f t="shared" si="1"/>
        <v>46174</v>
      </c>
      <c r="H56" s="137"/>
      <c r="I56" s="137"/>
      <c r="J56" s="137"/>
      <c r="K56" s="137">
        <v>2001</v>
      </c>
      <c r="M56" s="141"/>
      <c r="O56" s="129"/>
      <c r="P56" s="130"/>
    </row>
    <row r="57" spans="2:17" hidden="1" x14ac:dyDescent="0.2">
      <c r="E57" s="137">
        <v>2002</v>
      </c>
      <c r="F57" s="138" t="str">
        <f>CONCATENATE("1","/","7","/",$P$4)</f>
        <v>1/7/2026</v>
      </c>
      <c r="G57" s="139">
        <f t="shared" si="1"/>
        <v>46204</v>
      </c>
      <c r="H57" s="137"/>
      <c r="I57" s="137"/>
      <c r="J57" s="137"/>
      <c r="K57" s="137">
        <v>2002</v>
      </c>
      <c r="M57" s="141"/>
      <c r="O57" s="129"/>
      <c r="P57" s="130"/>
    </row>
    <row r="58" spans="2:17" hidden="1" x14ac:dyDescent="0.2">
      <c r="E58" s="137">
        <v>2003</v>
      </c>
      <c r="F58" s="138" t="str">
        <f>CONCATENATE("1","/","8","/",$P$4)</f>
        <v>1/8/2026</v>
      </c>
      <c r="G58" s="139">
        <f t="shared" si="1"/>
        <v>46235</v>
      </c>
      <c r="H58" s="137"/>
      <c r="I58" s="137"/>
      <c r="J58" s="137"/>
      <c r="K58" s="137">
        <v>2003</v>
      </c>
      <c r="M58" s="141"/>
      <c r="O58" s="129"/>
      <c r="P58" s="130"/>
    </row>
    <row r="59" spans="2:17" hidden="1" x14ac:dyDescent="0.2">
      <c r="E59" s="137">
        <v>2004</v>
      </c>
      <c r="F59" s="138" t="str">
        <f>CONCATENATE("1","/","9","/",$P$4)</f>
        <v>1/9/2026</v>
      </c>
      <c r="G59" s="139">
        <f t="shared" si="1"/>
        <v>46266</v>
      </c>
      <c r="H59" s="137"/>
      <c r="I59" s="137"/>
      <c r="J59" s="137"/>
      <c r="K59" s="137">
        <v>2004</v>
      </c>
      <c r="M59" s="141"/>
      <c r="O59" s="129"/>
      <c r="P59" s="130"/>
    </row>
    <row r="60" spans="2:17" hidden="1" x14ac:dyDescent="0.2">
      <c r="E60" s="137">
        <v>2005</v>
      </c>
      <c r="F60" s="138" t="str">
        <f>CONCATENATE("1","/","10","/",$P$4)</f>
        <v>1/10/2026</v>
      </c>
      <c r="G60" s="139">
        <f>DATE(RIGHT(F60,4),MID(F60,3,2),LEFT(F60,1))</f>
        <v>46296</v>
      </c>
      <c r="H60" s="137"/>
      <c r="I60" s="137"/>
      <c r="J60" s="137"/>
      <c r="K60" s="137">
        <v>2005</v>
      </c>
      <c r="M60" s="141"/>
      <c r="O60" s="129"/>
      <c r="P60" s="130"/>
    </row>
    <row r="61" spans="2:17" hidden="1" x14ac:dyDescent="0.2">
      <c r="E61" s="137">
        <v>2006</v>
      </c>
      <c r="F61" s="138" t="str">
        <f>CONCATENATE("1","/","11","/",$P$4)</f>
        <v>1/11/2026</v>
      </c>
      <c r="G61" s="139">
        <f>DATE(RIGHT(F61,4),MID(F61,3,2),LEFT(F61,1))</f>
        <v>46327</v>
      </c>
      <c r="H61" s="137"/>
      <c r="I61" s="137"/>
      <c r="J61" s="137"/>
      <c r="K61" s="137">
        <v>2006</v>
      </c>
      <c r="M61" s="141"/>
      <c r="O61" s="129"/>
      <c r="P61" s="130"/>
    </row>
    <row r="62" spans="2:17" hidden="1" x14ac:dyDescent="0.2">
      <c r="E62" s="137">
        <v>2007</v>
      </c>
      <c r="F62" s="138" t="str">
        <f>CONCATENATE("1","/","12","/",$P$4)</f>
        <v>1/12/2026</v>
      </c>
      <c r="G62" s="139">
        <f>DATE(RIGHT(F62,4),MID(F62,3,2),LEFT(F62,1))</f>
        <v>46357</v>
      </c>
      <c r="H62" s="137"/>
      <c r="I62" s="137"/>
      <c r="J62" s="137"/>
      <c r="K62" s="137">
        <v>2007</v>
      </c>
      <c r="M62" s="141"/>
      <c r="O62" s="129"/>
      <c r="P62" s="130"/>
    </row>
    <row r="63" spans="2:17" hidden="1" x14ac:dyDescent="0.2">
      <c r="E63" s="137">
        <v>2008</v>
      </c>
      <c r="F63" s="137"/>
      <c r="G63" s="137"/>
      <c r="H63" s="137"/>
      <c r="I63" s="137"/>
      <c r="J63" s="137"/>
      <c r="K63" s="137">
        <v>2008</v>
      </c>
    </row>
    <row r="64" spans="2:17" hidden="1" x14ac:dyDescent="0.2">
      <c r="E64" s="137">
        <v>2009</v>
      </c>
      <c r="F64" s="83" t="str">
        <f>CONCATENATE("Total.",$P$4)</f>
        <v>Total.2026</v>
      </c>
      <c r="G64" s="137"/>
      <c r="H64" s="137"/>
      <c r="I64" s="137"/>
      <c r="J64" s="137"/>
      <c r="K64" s="137">
        <v>2009</v>
      </c>
    </row>
    <row r="65" spans="5:11" hidden="1" x14ac:dyDescent="0.2">
      <c r="E65" s="137">
        <v>2010</v>
      </c>
      <c r="F65" s="137"/>
      <c r="G65" s="137"/>
      <c r="H65" s="137"/>
      <c r="I65" s="137"/>
      <c r="J65" s="137"/>
      <c r="K65" s="137">
        <v>2010</v>
      </c>
    </row>
    <row r="66" spans="5:11" hidden="1" x14ac:dyDescent="0.2">
      <c r="E66" s="137">
        <v>2011</v>
      </c>
      <c r="F66" s="137"/>
      <c r="G66" s="137"/>
      <c r="H66" s="137"/>
      <c r="I66" s="137"/>
      <c r="J66" s="137"/>
      <c r="K66" s="137">
        <v>2011</v>
      </c>
    </row>
    <row r="67" spans="5:11" hidden="1" x14ac:dyDescent="0.2">
      <c r="E67" s="137">
        <v>2012</v>
      </c>
      <c r="F67" s="137"/>
      <c r="G67" s="137"/>
      <c r="H67" s="137"/>
      <c r="I67" s="137"/>
      <c r="J67" s="137"/>
      <c r="K67" s="137">
        <v>2012</v>
      </c>
    </row>
    <row r="68" spans="5:11" hidden="1" x14ac:dyDescent="0.2">
      <c r="E68" s="137">
        <v>2013</v>
      </c>
      <c r="F68" s="137"/>
      <c r="G68" s="137"/>
      <c r="H68" s="137"/>
      <c r="I68" s="137"/>
      <c r="J68" s="137"/>
      <c r="K68" s="137">
        <v>2013</v>
      </c>
    </row>
    <row r="69" spans="5:11" hidden="1" x14ac:dyDescent="0.2">
      <c r="E69" s="137">
        <v>2014</v>
      </c>
      <c r="F69" s="137"/>
      <c r="G69" s="137"/>
      <c r="H69" s="137"/>
      <c r="I69" s="137"/>
      <c r="J69" s="137"/>
      <c r="K69" s="137">
        <v>2014</v>
      </c>
    </row>
    <row r="70" spans="5:11" hidden="1" x14ac:dyDescent="0.2">
      <c r="E70" s="137">
        <v>2015</v>
      </c>
      <c r="F70" s="137"/>
      <c r="G70" s="137"/>
      <c r="H70" s="137"/>
      <c r="I70" s="137"/>
      <c r="J70" s="137"/>
      <c r="K70" s="137">
        <v>2015</v>
      </c>
    </row>
    <row r="71" spans="5:11" hidden="1" x14ac:dyDescent="0.2">
      <c r="E71" s="137">
        <v>2016</v>
      </c>
      <c r="F71" s="137"/>
      <c r="G71" s="137"/>
      <c r="H71" s="137"/>
      <c r="I71" s="137"/>
      <c r="J71" s="137"/>
      <c r="K71" s="137">
        <v>2016</v>
      </c>
    </row>
    <row r="72" spans="5:11" hidden="1" x14ac:dyDescent="0.2">
      <c r="E72" s="137">
        <v>2017</v>
      </c>
      <c r="F72" s="137"/>
      <c r="G72" s="137"/>
      <c r="H72" s="137"/>
      <c r="I72" s="137"/>
      <c r="J72" s="137"/>
      <c r="K72" s="137">
        <v>2017</v>
      </c>
    </row>
    <row r="73" spans="5:11" hidden="1" x14ac:dyDescent="0.2">
      <c r="E73" s="137">
        <v>2018</v>
      </c>
      <c r="F73" s="137"/>
      <c r="G73" s="137"/>
      <c r="H73" s="137"/>
      <c r="I73" s="137"/>
      <c r="J73" s="137"/>
      <c r="K73" s="137">
        <v>2018</v>
      </c>
    </row>
    <row r="74" spans="5:11" hidden="1" x14ac:dyDescent="0.2">
      <c r="E74" s="137">
        <v>2019</v>
      </c>
      <c r="F74" s="137"/>
      <c r="G74" s="137"/>
      <c r="H74" s="137"/>
      <c r="I74" s="137"/>
      <c r="J74" s="137"/>
      <c r="K74" s="137">
        <v>2019</v>
      </c>
    </row>
    <row r="75" spans="5:11" hidden="1" x14ac:dyDescent="0.2">
      <c r="E75" s="137">
        <v>2020</v>
      </c>
      <c r="F75" s="137"/>
      <c r="G75" s="137"/>
      <c r="H75" s="137"/>
      <c r="I75" s="137"/>
      <c r="J75" s="137"/>
      <c r="K75" s="137">
        <v>2020</v>
      </c>
    </row>
    <row r="76" spans="5:11" hidden="1" x14ac:dyDescent="0.2">
      <c r="E76" s="137">
        <v>2021</v>
      </c>
      <c r="F76" s="137"/>
      <c r="G76" s="137"/>
      <c r="H76" s="137"/>
      <c r="I76" s="137"/>
      <c r="J76" s="137"/>
      <c r="K76" s="137">
        <v>2021</v>
      </c>
    </row>
    <row r="77" spans="5:11" hidden="1" x14ac:dyDescent="0.2">
      <c r="E77" s="137">
        <v>2022</v>
      </c>
      <c r="F77" s="137"/>
      <c r="G77" s="137"/>
      <c r="H77" s="137"/>
      <c r="I77" s="137"/>
      <c r="J77" s="137"/>
      <c r="K77" s="137">
        <v>2022</v>
      </c>
    </row>
    <row r="78" spans="5:11" hidden="1" x14ac:dyDescent="0.2">
      <c r="E78" s="137">
        <v>2023</v>
      </c>
      <c r="K78" s="137">
        <v>2023</v>
      </c>
    </row>
    <row r="79" spans="5:11" hidden="1" x14ac:dyDescent="0.2">
      <c r="E79" s="137">
        <v>2024</v>
      </c>
      <c r="K79" s="137">
        <v>2024</v>
      </c>
    </row>
    <row r="80" spans="5:11" hidden="1" x14ac:dyDescent="0.2">
      <c r="E80" s="137">
        <v>2025</v>
      </c>
      <c r="K80" s="137">
        <v>2025</v>
      </c>
    </row>
    <row r="81" spans="5:11" hidden="1" x14ac:dyDescent="0.2">
      <c r="E81" s="137">
        <v>2026</v>
      </c>
      <c r="K81" s="137">
        <v>2026</v>
      </c>
    </row>
    <row r="82" spans="5:11" x14ac:dyDescent="0.2">
      <c r="E82" s="137"/>
      <c r="K82" s="137"/>
    </row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3:G53 F63:J63 F57:F62 H57:J62 F55:J56 F54:I54 I51:J51 F52:G52 I53:J53 I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609"/>
  <sheetViews>
    <sheetView showGridLines="0" zoomScaleNormal="100" workbookViewId="0">
      <pane ySplit="6" topLeftCell="A552" activePane="bottomLeft" state="frozen"/>
      <selection activeCell="E491" sqref="E491"/>
      <selection pane="bottomLeft" activeCell="L597" sqref="L597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hidden="1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hidden="1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603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hidden="1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hidden="1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hidden="1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89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hidden="1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hidden="1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hidden="1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hidden="1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hidden="1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hidden="1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hidden="1" outlineLevel="1" x14ac:dyDescent="0.2">
      <c r="A589" s="93">
        <v>45962</v>
      </c>
      <c r="B589" s="86">
        <v>296610.30800000002</v>
      </c>
      <c r="C589" s="86">
        <v>297129.71299999999</v>
      </c>
      <c r="D589" s="86">
        <f t="shared" si="108"/>
        <v>-519.40499999996973</v>
      </c>
      <c r="E589" s="92">
        <f t="shared" si="109"/>
        <v>-6.8979128748732008E-2</v>
      </c>
      <c r="F589" s="86">
        <v>4795.0789999999997</v>
      </c>
      <c r="G589" s="86">
        <v>757264.30599999998</v>
      </c>
      <c r="I589" s="1" t="s">
        <v>50</v>
      </c>
      <c r="J589" s="1" t="s">
        <v>51</v>
      </c>
      <c r="K589" s="1" t="s">
        <v>31</v>
      </c>
    </row>
    <row r="590" spans="1:12" hidden="1" outlineLevel="1" x14ac:dyDescent="0.2">
      <c r="A590" s="93">
        <v>45992</v>
      </c>
      <c r="B590" s="86">
        <v>374014.18800000002</v>
      </c>
      <c r="C590" s="86">
        <v>369529.05300000001</v>
      </c>
      <c r="D590" s="86">
        <f t="shared" si="108"/>
        <v>4485.1350000000093</v>
      </c>
      <c r="E590" s="92">
        <f>IFERROR(D590/G589*100,"")</f>
        <v>0.59228131637304582</v>
      </c>
      <c r="F590" s="86">
        <v>4732.8289999999997</v>
      </c>
      <c r="G590" s="86">
        <v>766482.27099999995</v>
      </c>
      <c r="I590" s="1" t="s">
        <v>50</v>
      </c>
      <c r="J590" s="1" t="s">
        <v>51</v>
      </c>
      <c r="K590" s="1" t="s">
        <v>31</v>
      </c>
    </row>
    <row r="591" spans="1:12" collapsed="1" x14ac:dyDescent="0.2">
      <c r="A591" s="83" t="s">
        <v>134</v>
      </c>
      <c r="B591" s="84">
        <f>SUM(B579:B590)</f>
        <v>3680420.8959999997</v>
      </c>
      <c r="C591" s="84">
        <f>SUM(C579:C590)</f>
        <v>3743397.8600000003</v>
      </c>
      <c r="D591" s="84">
        <f>SUM(D579:D590)</f>
        <v>-62976.96399999992</v>
      </c>
      <c r="E591" s="91">
        <f>(D591/G578*100)</f>
        <v>-8.1420159424504721</v>
      </c>
      <c r="F591" s="84">
        <f>SUM(F579:F590)</f>
        <v>55978.039000000004</v>
      </c>
      <c r="G591" s="85">
        <f>IFERROR(INDEX($G$579:$G$590,COUNTA($G$579:$G$590)),0)</f>
        <v>766482.27099999995</v>
      </c>
    </row>
    <row r="592" spans="1:12" outlineLevel="1" x14ac:dyDescent="0.2">
      <c r="A592" s="93">
        <v>46023</v>
      </c>
      <c r="B592" s="86">
        <v>286710.94099999999</v>
      </c>
      <c r="C592" s="86">
        <v>305518.12</v>
      </c>
      <c r="D592" s="86">
        <f t="shared" si="108"/>
        <v>-18807.179000000004</v>
      </c>
      <c r="E592" s="92">
        <f>IFERROR(D592/G590*100,"")</f>
        <v>-2.4537004587807361</v>
      </c>
      <c r="F592" s="86">
        <v>4810.3180000000002</v>
      </c>
      <c r="G592" s="86">
        <v>752485.40899999999</v>
      </c>
    </row>
    <row r="593" spans="1:12" outlineLevel="1" x14ac:dyDescent="0.2">
      <c r="A593" s="93">
        <v>46054</v>
      </c>
      <c r="B593" s="86">
        <v>284664.85499999998</v>
      </c>
      <c r="C593" s="86">
        <v>288733.57299999997</v>
      </c>
      <c r="D593" s="86">
        <f t="shared" si="108"/>
        <v>-4068.7179999999935</v>
      </c>
      <c r="E593" s="92">
        <f>IFERROR(D593/G592*100,"")</f>
        <v>-0.54070390619361408</v>
      </c>
      <c r="F593" s="86">
        <v>4616.6790000000001</v>
      </c>
      <c r="G593" s="86">
        <v>753033.36800000002</v>
      </c>
    </row>
    <row r="594" spans="1:12" outlineLevel="1" x14ac:dyDescent="0.2">
      <c r="A594" s="93">
        <v>46082</v>
      </c>
      <c r="B594" s="86"/>
      <c r="C594" s="86"/>
      <c r="D594" s="86">
        <f t="shared" si="108"/>
        <v>0</v>
      </c>
      <c r="E594" s="92">
        <f>IFERROR(D594/G593*100,"")</f>
        <v>0</v>
      </c>
      <c r="F594" s="86"/>
      <c r="G594" s="86"/>
    </row>
    <row r="595" spans="1:12" outlineLevel="1" x14ac:dyDescent="0.2">
      <c r="A595" s="93">
        <v>46113</v>
      </c>
      <c r="B595" s="86"/>
      <c r="C595" s="86"/>
      <c r="D595" s="86">
        <f t="shared" si="108"/>
        <v>0</v>
      </c>
      <c r="E595" s="92" t="str">
        <f t="shared" ref="E595:E602" si="110">IFERROR(D595/G594*100,"")</f>
        <v/>
      </c>
      <c r="F595" s="86"/>
      <c r="G595" s="86"/>
    </row>
    <row r="596" spans="1:12" outlineLevel="1" x14ac:dyDescent="0.2">
      <c r="A596" s="93">
        <v>46143</v>
      </c>
      <c r="B596" s="86"/>
      <c r="C596" s="86"/>
      <c r="D596" s="86">
        <f t="shared" si="108"/>
        <v>0</v>
      </c>
      <c r="E596" s="92" t="str">
        <f t="shared" si="110"/>
        <v/>
      </c>
      <c r="F596" s="86"/>
      <c r="G596" s="86"/>
    </row>
    <row r="597" spans="1:12" outlineLevel="1" x14ac:dyDescent="0.2">
      <c r="A597" s="93">
        <v>46174</v>
      </c>
      <c r="B597" s="86"/>
      <c r="C597" s="86"/>
      <c r="D597" s="86">
        <f t="shared" si="108"/>
        <v>0</v>
      </c>
      <c r="E597" s="92" t="str">
        <f t="shared" si="110"/>
        <v/>
      </c>
      <c r="F597" s="86"/>
      <c r="G597" s="86"/>
    </row>
    <row r="598" spans="1:12" outlineLevel="1" x14ac:dyDescent="0.2">
      <c r="A598" s="93">
        <v>46204</v>
      </c>
      <c r="B598" s="86"/>
      <c r="C598" s="86"/>
      <c r="D598" s="86">
        <f t="shared" si="108"/>
        <v>0</v>
      </c>
      <c r="E598" s="92" t="str">
        <f t="shared" si="110"/>
        <v/>
      </c>
      <c r="F598" s="86"/>
      <c r="G598" s="86"/>
    </row>
    <row r="599" spans="1:12" outlineLevel="1" x14ac:dyDescent="0.2">
      <c r="A599" s="93">
        <v>46235</v>
      </c>
      <c r="B599" s="86"/>
      <c r="C599" s="86"/>
      <c r="D599" s="86">
        <f t="shared" si="108"/>
        <v>0</v>
      </c>
      <c r="E599" s="92" t="str">
        <f t="shared" si="110"/>
        <v/>
      </c>
      <c r="F599" s="86"/>
      <c r="G599" s="86"/>
    </row>
    <row r="600" spans="1:12" outlineLevel="1" x14ac:dyDescent="0.2">
      <c r="A600" s="93">
        <v>46266</v>
      </c>
      <c r="B600" s="86"/>
      <c r="C600" s="86"/>
      <c r="D600" s="86">
        <f t="shared" si="108"/>
        <v>0</v>
      </c>
      <c r="E600" s="92" t="str">
        <f t="shared" si="110"/>
        <v/>
      </c>
      <c r="F600" s="86"/>
      <c r="G600" s="86"/>
    </row>
    <row r="601" spans="1:12" outlineLevel="1" x14ac:dyDescent="0.2">
      <c r="A601" s="93">
        <v>46296</v>
      </c>
      <c r="B601" s="86"/>
      <c r="C601" s="86"/>
      <c r="D601" s="86">
        <f t="shared" si="108"/>
        <v>0</v>
      </c>
      <c r="E601" s="92" t="str">
        <f t="shared" si="110"/>
        <v/>
      </c>
      <c r="F601" s="86"/>
      <c r="G601" s="86"/>
    </row>
    <row r="602" spans="1:12" outlineLevel="1" x14ac:dyDescent="0.2">
      <c r="A602" s="93">
        <v>46327</v>
      </c>
      <c r="B602" s="86"/>
      <c r="C602" s="86"/>
      <c r="D602" s="86">
        <f t="shared" si="108"/>
        <v>0</v>
      </c>
      <c r="E602" s="92" t="str">
        <f t="shared" si="110"/>
        <v/>
      </c>
      <c r="F602" s="86"/>
      <c r="G602" s="86"/>
    </row>
    <row r="603" spans="1:12" outlineLevel="1" x14ac:dyDescent="0.2">
      <c r="A603" s="93">
        <v>46357</v>
      </c>
      <c r="B603" s="86"/>
      <c r="C603" s="86"/>
      <c r="D603" s="86">
        <f t="shared" si="108"/>
        <v>0</v>
      </c>
      <c r="E603" s="92" t="str">
        <f>IFERROR(D603/G602*100,"")</f>
        <v/>
      </c>
      <c r="F603" s="86"/>
      <c r="G603" s="86"/>
    </row>
    <row r="604" spans="1:12" x14ac:dyDescent="0.2">
      <c r="A604" s="83" t="s">
        <v>135</v>
      </c>
      <c r="B604" s="84">
        <f>SUM(B592:B603)</f>
        <v>571375.79599999997</v>
      </c>
      <c r="C604" s="84">
        <f>SUM(C592:C603)</f>
        <v>594251.69299999997</v>
      </c>
      <c r="D604" s="84">
        <f>SUM(D592:D603)</f>
        <v>-22875.896999999997</v>
      </c>
      <c r="E604" s="91">
        <f>(D604/G591*100)</f>
        <v>-2.9845304797663088</v>
      </c>
      <c r="F604" s="84">
        <f>SUM(F592:F603)</f>
        <v>9426.9969999999994</v>
      </c>
      <c r="G604" s="85">
        <f>IFERROR(INDEX($G$592:$G$603,COUNTA($G$592:$G$603)),0)</f>
        <v>753033.36800000002</v>
      </c>
    </row>
    <row r="605" spans="1:12" x14ac:dyDescent="0.2">
      <c r="A605" s="49" t="s">
        <v>12</v>
      </c>
      <c r="B605" s="4"/>
      <c r="C605" s="4"/>
      <c r="D605" s="17"/>
      <c r="E605" s="5"/>
      <c r="F605" s="4"/>
      <c r="G605" s="4"/>
      <c r="L605" s="1"/>
    </row>
    <row r="606" spans="1:12" ht="5.25" customHeight="1" x14ac:dyDescent="0.2">
      <c r="A606" s="18"/>
      <c r="B606" s="4"/>
      <c r="C606" s="4"/>
      <c r="D606" s="17"/>
      <c r="E606" s="5"/>
      <c r="F606" s="4"/>
      <c r="G606" s="4"/>
      <c r="L606" s="1"/>
    </row>
    <row r="607" spans="1:12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  <c r="L607" s="1"/>
    </row>
    <row r="608" spans="1:12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  <c r="L608" s="1"/>
    </row>
    <row r="609" spans="1:12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  <c r="L609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611"/>
  <sheetViews>
    <sheetView showGridLines="0" zoomScaleNormal="100" workbookViewId="0">
      <pane ySplit="6" topLeftCell="A552" activePane="bottomLeft" state="frozen"/>
      <selection activeCell="B491" sqref="B491:C491"/>
      <selection pane="bottomLeft" activeCell="I597" sqref="I597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hidden="1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hidden="1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603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hidden="1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hidden="1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hidden="1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hidden="1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hidden="1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hidden="1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hidden="1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hidden="1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hidden="1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hidden="1" outlineLevel="1" x14ac:dyDescent="0.2">
      <c r="A589" s="15">
        <v>45962</v>
      </c>
      <c r="B589" s="4">
        <v>45142.754000000001</v>
      </c>
      <c r="C589" s="4">
        <v>47480.35</v>
      </c>
      <c r="D589" s="148">
        <f t="shared" si="61"/>
        <v>-2337.5959999999977</v>
      </c>
      <c r="E589" s="92">
        <f t="shared" si="62"/>
        <v>-0.92098764305581327</v>
      </c>
      <c r="F589" s="4">
        <v>1632.2329999999999</v>
      </c>
      <c r="G589" s="4">
        <v>253108.68299999999</v>
      </c>
    </row>
    <row r="590" spans="1:10" hidden="1" outlineLevel="1" x14ac:dyDescent="0.2">
      <c r="A590" s="15">
        <v>45992</v>
      </c>
      <c r="B590" s="4">
        <v>58791.425999999999</v>
      </c>
      <c r="C590" s="4">
        <v>57866.281999999999</v>
      </c>
      <c r="D590" s="4">
        <f t="shared" si="61"/>
        <v>925.14400000000023</v>
      </c>
      <c r="E590" s="92">
        <f t="shared" si="62"/>
        <v>0.36551254940550587</v>
      </c>
      <c r="F590" s="4">
        <v>1627.048</v>
      </c>
      <c r="G590" s="4">
        <v>255660.87400000001</v>
      </c>
    </row>
    <row r="591" spans="1:10" collapsed="1" x14ac:dyDescent="0.2">
      <c r="A591" s="16" t="s">
        <v>134</v>
      </c>
      <c r="B591" s="12">
        <f>SUM(B579:B590)</f>
        <v>591875.79599999997</v>
      </c>
      <c r="C591" s="12">
        <f>SUM(C579:C590)</f>
        <v>614466.94199999992</v>
      </c>
      <c r="D591" s="146">
        <f>SUM(D579:D590)</f>
        <v>-22591.146000000008</v>
      </c>
      <c r="E591" s="91">
        <f>(D591/G578*100)</f>
        <v>-8.7436464800805531</v>
      </c>
      <c r="F591" s="12">
        <f>SUM(F579:F590)</f>
        <v>19879.883999999998</v>
      </c>
      <c r="G591" s="14">
        <f>IFERROR(INDEX($G$579:$G$590,COUNTA($G$579:$G$590)),0)</f>
        <v>255660.87400000001</v>
      </c>
    </row>
    <row r="592" spans="1:10" outlineLevel="1" x14ac:dyDescent="0.2">
      <c r="A592" s="93">
        <v>46023</v>
      </c>
      <c r="B592" s="4">
        <v>44524.553</v>
      </c>
      <c r="C592" s="4">
        <v>49229.612999999998</v>
      </c>
      <c r="D592" s="148">
        <f t="shared" si="61"/>
        <v>-4705.0599999999977</v>
      </c>
      <c r="E592" s="92">
        <f>IFERROR(D592/G590*100,"")</f>
        <v>-1.8403519969191677</v>
      </c>
      <c r="F592" s="4">
        <v>1626.876</v>
      </c>
      <c r="G592" s="4">
        <v>252582.68700000001</v>
      </c>
    </row>
    <row r="593" spans="1:7" outlineLevel="1" x14ac:dyDescent="0.2">
      <c r="A593" s="93">
        <v>46054</v>
      </c>
      <c r="B593" s="4">
        <v>42104.908000000003</v>
      </c>
      <c r="C593" s="4">
        <v>44652.442000000003</v>
      </c>
      <c r="D593" s="148">
        <f t="shared" si="61"/>
        <v>-2547.5339999999997</v>
      </c>
      <c r="E593" s="92">
        <f>IFERROR(D593/G592*100,"")</f>
        <v>-1.0085940688405137</v>
      </c>
      <c r="F593" s="4">
        <v>1573.546</v>
      </c>
      <c r="G593" s="4">
        <v>251608.7</v>
      </c>
    </row>
    <row r="594" spans="1:7" outlineLevel="1" x14ac:dyDescent="0.2">
      <c r="A594" s="93">
        <v>46082</v>
      </c>
      <c r="B594" s="4"/>
      <c r="C594" s="4"/>
      <c r="D594" s="148">
        <f t="shared" si="61"/>
        <v>0</v>
      </c>
      <c r="E594" s="92">
        <f t="shared" ref="E594:E603" si="63">IFERROR(D594/G593*100,"")</f>
        <v>0</v>
      </c>
      <c r="F594" s="4"/>
      <c r="G594" s="4"/>
    </row>
    <row r="595" spans="1:7" outlineLevel="1" x14ac:dyDescent="0.2">
      <c r="A595" s="93">
        <v>46113</v>
      </c>
      <c r="B595" s="4"/>
      <c r="C595" s="4"/>
      <c r="D595" s="148">
        <f t="shared" si="61"/>
        <v>0</v>
      </c>
      <c r="E595" s="92" t="str">
        <f t="shared" si="63"/>
        <v/>
      </c>
      <c r="F595" s="4"/>
      <c r="G595" s="4"/>
    </row>
    <row r="596" spans="1:7" outlineLevel="1" x14ac:dyDescent="0.2">
      <c r="A596" s="93">
        <v>46143</v>
      </c>
      <c r="B596" s="4"/>
      <c r="C596" s="4"/>
      <c r="D596" s="148">
        <f t="shared" si="61"/>
        <v>0</v>
      </c>
      <c r="E596" s="92" t="str">
        <f t="shared" si="63"/>
        <v/>
      </c>
      <c r="F596" s="4"/>
      <c r="G596" s="4"/>
    </row>
    <row r="597" spans="1:7" outlineLevel="1" x14ac:dyDescent="0.2">
      <c r="A597" s="93">
        <v>46174</v>
      </c>
      <c r="B597" s="4"/>
      <c r="C597" s="4"/>
      <c r="D597" s="148">
        <f t="shared" si="61"/>
        <v>0</v>
      </c>
      <c r="E597" s="92" t="str">
        <f t="shared" si="63"/>
        <v/>
      </c>
      <c r="F597" s="4"/>
      <c r="G597" s="4"/>
    </row>
    <row r="598" spans="1:7" outlineLevel="1" x14ac:dyDescent="0.2">
      <c r="A598" s="93">
        <v>46204</v>
      </c>
      <c r="B598" s="4"/>
      <c r="C598" s="4"/>
      <c r="D598" s="148">
        <f t="shared" si="61"/>
        <v>0</v>
      </c>
      <c r="E598" s="92" t="str">
        <f t="shared" si="63"/>
        <v/>
      </c>
      <c r="F598" s="4"/>
      <c r="G598" s="4"/>
    </row>
    <row r="599" spans="1:7" outlineLevel="1" x14ac:dyDescent="0.2">
      <c r="A599" s="93">
        <v>46235</v>
      </c>
      <c r="B599" s="4"/>
      <c r="C599" s="4"/>
      <c r="D599" s="148">
        <f t="shared" si="61"/>
        <v>0</v>
      </c>
      <c r="E599" s="92" t="str">
        <f t="shared" si="63"/>
        <v/>
      </c>
      <c r="F599" s="4"/>
      <c r="G599" s="4"/>
    </row>
    <row r="600" spans="1:7" outlineLevel="1" x14ac:dyDescent="0.2">
      <c r="A600" s="93">
        <v>46266</v>
      </c>
      <c r="B600" s="4"/>
      <c r="C600" s="4"/>
      <c r="D600" s="148">
        <f t="shared" si="61"/>
        <v>0</v>
      </c>
      <c r="E600" s="92" t="str">
        <f t="shared" si="63"/>
        <v/>
      </c>
      <c r="F600" s="4"/>
      <c r="G600" s="4"/>
    </row>
    <row r="601" spans="1:7" outlineLevel="1" x14ac:dyDescent="0.2">
      <c r="A601" s="93">
        <v>46296</v>
      </c>
      <c r="B601" s="4"/>
      <c r="C601" s="4"/>
      <c r="D601" s="148">
        <f t="shared" si="61"/>
        <v>0</v>
      </c>
      <c r="E601" s="92" t="str">
        <f t="shared" si="63"/>
        <v/>
      </c>
      <c r="F601" s="4"/>
      <c r="G601" s="4"/>
    </row>
    <row r="602" spans="1:7" outlineLevel="1" x14ac:dyDescent="0.2">
      <c r="A602" s="93">
        <v>46327</v>
      </c>
      <c r="B602" s="4"/>
      <c r="C602" s="4"/>
      <c r="D602" s="148">
        <f t="shared" si="61"/>
        <v>0</v>
      </c>
      <c r="E602" s="92" t="str">
        <f t="shared" si="63"/>
        <v/>
      </c>
      <c r="F602" s="4"/>
      <c r="G602" s="4"/>
    </row>
    <row r="603" spans="1:7" outlineLevel="1" x14ac:dyDescent="0.2">
      <c r="A603" s="93">
        <v>46357</v>
      </c>
      <c r="B603" s="4"/>
      <c r="C603" s="4"/>
      <c r="D603" s="148">
        <f t="shared" si="61"/>
        <v>0</v>
      </c>
      <c r="E603" s="92" t="str">
        <f t="shared" si="63"/>
        <v/>
      </c>
      <c r="F603" s="4"/>
      <c r="G603" s="4"/>
    </row>
    <row r="604" spans="1:7" x14ac:dyDescent="0.2">
      <c r="A604" s="83" t="s">
        <v>135</v>
      </c>
      <c r="B604" s="12">
        <f>SUM(B592:B603)</f>
        <v>86629.46100000001</v>
      </c>
      <c r="C604" s="12">
        <f>SUM(C592:C603)</f>
        <v>93882.054999999993</v>
      </c>
      <c r="D604" s="146">
        <f>SUM(D592:D603)</f>
        <v>-7252.5939999999973</v>
      </c>
      <c r="E604" s="91">
        <f>(D604/G591*100)</f>
        <v>-2.8368024745155167</v>
      </c>
      <c r="F604" s="12">
        <f>SUM(F592:F603)</f>
        <v>3200.422</v>
      </c>
      <c r="G604" s="14">
        <f>IFERROR(INDEX($G$592:$G$603,COUNTA($G$592:$G$603)),0)</f>
        <v>251608.7</v>
      </c>
    </row>
    <row r="605" spans="1:7" x14ac:dyDescent="0.2">
      <c r="A605" s="49" t="s">
        <v>12</v>
      </c>
      <c r="B605" s="4"/>
      <c r="C605" s="4"/>
      <c r="D605" s="17"/>
      <c r="E605" s="5"/>
      <c r="F605" s="4"/>
      <c r="G605" s="4"/>
    </row>
    <row r="606" spans="1:7" ht="5.25" customHeight="1" x14ac:dyDescent="0.2">
      <c r="A606" s="18"/>
      <c r="B606" s="4"/>
      <c r="C606" s="4"/>
      <c r="D606" s="17"/>
      <c r="E606" s="5"/>
      <c r="F606" s="4"/>
      <c r="G606" s="4"/>
    </row>
    <row r="607" spans="1:7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</row>
    <row r="608" spans="1:7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</row>
    <row r="609" spans="1:7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</row>
    <row r="610" spans="1:7" ht="4.5" customHeight="1" x14ac:dyDescent="0.2">
      <c r="B610" s="1"/>
      <c r="C610" s="1"/>
      <c r="D610" s="1"/>
      <c r="E610" s="1"/>
    </row>
    <row r="611" spans="1:7" x14ac:dyDescent="0.2">
      <c r="B611" s="1"/>
      <c r="C611" s="1"/>
      <c r="D611" s="1"/>
      <c r="E611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4"/>
  <sheetViews>
    <sheetView showGridLines="0" zoomScaleNormal="100" workbookViewId="0">
      <pane xSplit="1" ySplit="8" topLeftCell="B37" activePane="bottomRight" state="frozen"/>
      <selection pane="topRight" activeCell="B491" sqref="B491:C491"/>
      <selection pane="bottomLeft" activeCell="B491" sqref="B491:C491"/>
      <selection pane="bottomRight" activeCell="O39" sqref="O39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hidden="1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137</v>
      </c>
      <c r="B40" s="30">
        <f>SBPE_Mensal!G591</f>
        <v>766482.27099999995</v>
      </c>
      <c r="C40" s="70">
        <f>B40/B39-1</f>
        <v>-9.048630847360295E-3</v>
      </c>
      <c r="D40" s="43">
        <f>SBPE_Mensal!D591</f>
        <v>-62976.96399999992</v>
      </c>
      <c r="E40" s="149">
        <f>D40/B39</f>
        <v>-8.1420159424504715E-2</v>
      </c>
      <c r="F40" s="30">
        <f>Rural_Mensal!G591</f>
        <v>255660.87400000001</v>
      </c>
      <c r="G40" s="70">
        <f t="shared" ref="G40:G41" si="54">F40/F39-1</f>
        <v>-1.0493623898310878E-2</v>
      </c>
      <c r="H40" s="43">
        <f>Rural_Mensal!D591</f>
        <v>-22591.146000000008</v>
      </c>
      <c r="I40" s="149">
        <f t="shared" ref="I40:I41" si="55">H40/F39</f>
        <v>-8.7436464800805525E-2</v>
      </c>
      <c r="J40" s="30">
        <f>SUM(B40,F40)</f>
        <v>1022143.145</v>
      </c>
      <c r="K40" s="70">
        <f t="shared" ref="K40" si="56">J40/J39-1</f>
        <v>-9.4104515826686219E-3</v>
      </c>
      <c r="L40" s="43">
        <f t="shared" ref="L40" si="57">SUM(D40,H40)</f>
        <v>-85568.109999999928</v>
      </c>
      <c r="M40" s="149">
        <f>L40/J39</f>
        <v>-8.2926619288558129E-2</v>
      </c>
    </row>
    <row r="41" spans="1:13" x14ac:dyDescent="0.25">
      <c r="A41" s="95" t="s">
        <v>136</v>
      </c>
      <c r="B41" s="96">
        <f>SBPE_Mensal!G604</f>
        <v>753033.36800000002</v>
      </c>
      <c r="C41" s="97">
        <f>B41/B40-1</f>
        <v>-1.7546267550916261E-2</v>
      </c>
      <c r="D41" s="98">
        <f>SBPE_Mensal!D604</f>
        <v>-22875.896999999997</v>
      </c>
      <c r="E41" s="150">
        <f>D41/B40</f>
        <v>-2.9845304797663088E-2</v>
      </c>
      <c r="F41" s="96">
        <f>Rural_Mensal!G604</f>
        <v>251608.7</v>
      </c>
      <c r="G41" s="97">
        <f t="shared" si="54"/>
        <v>-1.5849801092364224E-2</v>
      </c>
      <c r="H41" s="98">
        <f>Rural_Mensal!D604</f>
        <v>-7252.5939999999973</v>
      </c>
      <c r="I41" s="150">
        <f t="shared" si="55"/>
        <v>-2.8368024745155165E-2</v>
      </c>
      <c r="J41" s="96">
        <f>SUM(B41,F41)</f>
        <v>1004642.068</v>
      </c>
      <c r="K41" s="97">
        <f t="shared" ref="K41" si="58">J41/J40-1</f>
        <v>-1.712194332624517E-2</v>
      </c>
      <c r="L41" s="98">
        <f t="shared" ref="L41" si="59">SUM(D41,H41)</f>
        <v>-30128.490999999995</v>
      </c>
      <c r="M41" s="150">
        <f>L41/J40</f>
        <v>-2.9475803998078951E-2</v>
      </c>
    </row>
    <row r="42" spans="1:13" x14ac:dyDescent="0.25">
      <c r="A42" s="95"/>
      <c r="B42" s="96"/>
      <c r="C42" s="97"/>
      <c r="D42" s="98"/>
      <c r="E42" s="99"/>
      <c r="F42" s="96"/>
      <c r="G42" s="97"/>
      <c r="H42" s="98"/>
      <c r="I42" s="100"/>
      <c r="J42" s="96"/>
      <c r="K42" s="101"/>
      <c r="L42" s="98"/>
      <c r="M42" s="99"/>
    </row>
    <row r="43" spans="1:13" x14ac:dyDescent="0.25">
      <c r="A43" s="151" t="s">
        <v>12</v>
      </c>
      <c r="B43" s="152"/>
      <c r="C43" s="45"/>
      <c r="D43" s="44"/>
      <c r="E43" s="45"/>
      <c r="F43" s="44"/>
      <c r="G43" s="45"/>
      <c r="H43" s="44"/>
      <c r="I43" s="45"/>
      <c r="J43" s="44"/>
      <c r="K43" s="45"/>
      <c r="L43" s="44"/>
      <c r="M43" s="45"/>
    </row>
    <row r="44" spans="1:13" x14ac:dyDescent="0.25">
      <c r="A44" s="52" t="s">
        <v>138</v>
      </c>
      <c r="D44" s="7"/>
      <c r="F44" s="7"/>
      <c r="H44" s="7"/>
      <c r="J44" s="7"/>
      <c r="L44" s="7"/>
    </row>
    <row r="45" spans="1:13" x14ac:dyDescent="0.25">
      <c r="A45" s="46" t="s">
        <v>126</v>
      </c>
    </row>
    <row r="46" spans="1:13" x14ac:dyDescent="0.25">
      <c r="A46" s="46" t="s">
        <v>127</v>
      </c>
    </row>
    <row r="47" spans="1:13" x14ac:dyDescent="0.25">
      <c r="A47" s="46" t="s">
        <v>128</v>
      </c>
    </row>
    <row r="48" spans="1:13" x14ac:dyDescent="0.25">
      <c r="A48" s="46" t="s">
        <v>129</v>
      </c>
    </row>
    <row r="49" spans="1:1" x14ac:dyDescent="0.25">
      <c r="A49" s="46" t="s">
        <v>130</v>
      </c>
    </row>
    <row r="50" spans="1:1" x14ac:dyDescent="0.25">
      <c r="A50" s="7" t="s">
        <v>131</v>
      </c>
    </row>
    <row r="65" spans="1:1" x14ac:dyDescent="0.25">
      <c r="A65" s="49"/>
    </row>
    <row r="84" spans="3:3" x14ac:dyDescent="0.25">
      <c r="C84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83142-55CA-4180-9AA8-15EA97B268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e50f6f7-abf6-49b9-b4c9-2ea63774b93b"/>
    <ds:schemaRef ds:uri="f4bcf983-2136-4c42-9108-b73acbb23e9e"/>
  </ds:schemaRefs>
</ds:datastoreItem>
</file>

<file path=customXml/itemProps3.xml><?xml version="1.0" encoding="utf-8"?>
<ds:datastoreItem xmlns:ds="http://schemas.openxmlformats.org/officeDocument/2006/customXml" ds:itemID="{2045CCD8-2EB9-4AE9-A81E-DA0D6C2B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2025-10-08T14:09:14Z</cp:lastPrinted>
  <dcterms:created xsi:type="dcterms:W3CDTF">2001-08-07T17:49:36Z</dcterms:created>
  <dcterms:modified xsi:type="dcterms:W3CDTF">2026-03-06T13:23:13Z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