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Poupança/Saldo - captação - faixas/"/>
    </mc:Choice>
  </mc:AlternateContent>
  <xr:revisionPtr revIDLastSave="66" documentId="13_ncr:1_{0FE78DD6-577B-4F62-A3C7-E692A9C95716}" xr6:coauthVersionLast="47" xr6:coauthVersionMax="47" xr10:uidLastSave="{21B230C4-E6F7-409C-9CEA-4DC559968050}"/>
  <bookViews>
    <workbookView xWindow="-120" yWindow="-120" windowWidth="29040" windowHeight="1584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Rural_Mensal!$A$1:$H$571</definedName>
    <definedName name="_xlnm.Print_Area" localSheetId="0">SBPE!$B$1:$Q$81</definedName>
    <definedName name="_xlnm.Print_Area" localSheetId="1">SBPE_Mensal!$A$1:$H$531</definedName>
    <definedName name="_xlnm.Print_Area" localSheetId="3">Total_Anual!$A$1:$M$61</definedName>
    <definedName name="_xlnm.Print_Titles" localSheetId="2">Rural_Mensal!$1:$7</definedName>
    <definedName name="_xlnm.Print_Titles" localSheetId="1">SBPE_Mensal!$1:$6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5" i="1" l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E564" i="1"/>
  <c r="D564" i="1"/>
  <c r="D563" i="1"/>
  <c r="E563" i="1" s="1"/>
  <c r="D562" i="1"/>
  <c r="E562" i="1" s="1"/>
  <c r="D561" i="1"/>
  <c r="E561" i="1" s="1"/>
  <c r="D560" i="1"/>
  <c r="E560" i="1" s="1"/>
  <c r="E559" i="1"/>
  <c r="D559" i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H23" i="11" l="1"/>
  <c r="D565" i="7"/>
  <c r="H38" i="10" s="1"/>
  <c r="D565" i="1"/>
  <c r="D38" i="10" s="1"/>
  <c r="B552" i="1"/>
  <c r="G552" i="7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L38" i="10" l="1"/>
  <c r="E565" i="7"/>
  <c r="F37" i="10"/>
  <c r="E553" i="7"/>
  <c r="D552" i="7"/>
  <c r="H37" i="10" s="1"/>
  <c r="G552" i="1"/>
  <c r="E565" i="1" s="1"/>
  <c r="I38" i="10" l="1"/>
  <c r="B37" i="10"/>
  <c r="E553" i="1"/>
  <c r="C38" i="10" l="1"/>
  <c r="E38" i="10"/>
  <c r="J37" i="10"/>
  <c r="M38" i="10" s="1"/>
  <c r="F552" i="1"/>
  <c r="C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E546" i="1" l="1"/>
  <c r="E541" i="1"/>
  <c r="E548" i="1"/>
  <c r="E545" i="1"/>
  <c r="E547" i="1"/>
  <c r="E549" i="1"/>
  <c r="E550" i="1"/>
  <c r="E551" i="1"/>
  <c r="E542" i="1"/>
  <c r="E543" i="1"/>
  <c r="E544" i="1"/>
  <c r="D552" i="1"/>
  <c r="G539" i="7"/>
  <c r="G539" i="1"/>
  <c r="E540" i="1" s="1"/>
  <c r="E552" i="1" l="1"/>
  <c r="D37" i="10"/>
  <c r="F36" i="10"/>
  <c r="E540" i="7"/>
  <c r="E552" i="7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E532" i="1"/>
  <c r="D539" i="7"/>
  <c r="D539" i="1"/>
  <c r="C81" i="10"/>
  <c r="M37" i="10" l="1"/>
  <c r="D36" i="10"/>
  <c r="H36" i="10"/>
  <c r="G526" i="7"/>
  <c r="E539" i="7" s="1"/>
  <c r="G526" i="1"/>
  <c r="E527" i="1" s="1"/>
  <c r="D516" i="1"/>
  <c r="E516" i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/>
  <c r="D505" i="1"/>
  <c r="E505" i="1" s="1"/>
  <c r="D506" i="1"/>
  <c r="E506" i="1" s="1"/>
  <c r="D507" i="1"/>
  <c r="E507" i="1" s="1"/>
  <c r="D508" i="1"/>
  <c r="E508" i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1" l="1"/>
  <c r="L36" i="10"/>
  <c r="F35" i="10"/>
  <c r="E527" i="7"/>
  <c r="B35" i="10"/>
  <c r="D526" i="7"/>
  <c r="H35" i="10" s="1"/>
  <c r="D526" i="1"/>
  <c r="J35" i="10" l="1"/>
  <c r="C36" i="10"/>
  <c r="E36" i="10"/>
  <c r="I36" i="10"/>
  <c r="G36" i="10"/>
  <c r="D35" i="10"/>
  <c r="L35" i="10" s="1"/>
  <c r="B513" i="1"/>
  <c r="F513" i="1"/>
  <c r="G513" i="1"/>
  <c r="E526" i="1" s="1"/>
  <c r="K36" i="10" l="1"/>
  <c r="M36" i="10"/>
  <c r="E514" i="1"/>
  <c r="P4" i="11" l="1"/>
  <c r="F64" i="11" s="1"/>
  <c r="G513" i="7"/>
  <c r="C513" i="7"/>
  <c r="B513" i="7"/>
  <c r="D502" i="7"/>
  <c r="D501" i="7"/>
  <c r="G500" i="1"/>
  <c r="D502" i="1"/>
  <c r="E502" i="1" s="1"/>
  <c r="D501" i="1"/>
  <c r="C513" i="1"/>
  <c r="P5" i="11" l="1"/>
  <c r="P6" i="11"/>
  <c r="B21" i="11"/>
  <c r="B17" i="11"/>
  <c r="B15" i="11"/>
  <c r="B14" i="11"/>
  <c r="B12" i="11"/>
  <c r="B11" i="11"/>
  <c r="B23" i="11"/>
  <c r="F23" i="11" s="1"/>
  <c r="B20" i="11"/>
  <c r="B19" i="11"/>
  <c r="B16" i="11"/>
  <c r="B13" i="11"/>
  <c r="B18" i="11"/>
  <c r="B22" i="11"/>
  <c r="F34" i="10"/>
  <c r="E514" i="7"/>
  <c r="E526" i="7"/>
  <c r="B34" i="10"/>
  <c r="F513" i="7"/>
  <c r="D513" i="7"/>
  <c r="E502" i="7"/>
  <c r="D513" i="1"/>
  <c r="D34" i="10" s="1"/>
  <c r="E498" i="1"/>
  <c r="G35" i="10" l="1"/>
  <c r="I35" i="10"/>
  <c r="J34" i="10"/>
  <c r="C35" i="10"/>
  <c r="E35" i="10"/>
  <c r="H34" i="10"/>
  <c r="L34" i="10" s="1"/>
  <c r="K35" i="10" l="1"/>
  <c r="M35" i="10"/>
  <c r="D488" i="1"/>
  <c r="D489" i="1"/>
  <c r="D490" i="1"/>
  <c r="D491" i="1"/>
  <c r="D492" i="1"/>
  <c r="D493" i="1"/>
  <c r="D494" i="1"/>
  <c r="F494" i="1" s="1"/>
  <c r="G500" i="7" l="1"/>
  <c r="C500" i="7"/>
  <c r="B500" i="7"/>
  <c r="F493" i="7"/>
  <c r="F491" i="7"/>
  <c r="D489" i="7"/>
  <c r="F489" i="7" s="1"/>
  <c r="D488" i="7"/>
  <c r="E501" i="1"/>
  <c r="C500" i="1"/>
  <c r="B500" i="1"/>
  <c r="D499" i="1"/>
  <c r="E499" i="1" s="1"/>
  <c r="D497" i="1"/>
  <c r="D496" i="1"/>
  <c r="D495" i="1"/>
  <c r="F495" i="1" s="1"/>
  <c r="E492" i="1"/>
  <c r="E491" i="1"/>
  <c r="F490" i="1"/>
  <c r="F489" i="1"/>
  <c r="F33" i="10" l="1"/>
  <c r="I34" i="10" s="1"/>
  <c r="E501" i="7"/>
  <c r="E513" i="7"/>
  <c r="E495" i="1"/>
  <c r="B33" i="10"/>
  <c r="E513" i="1"/>
  <c r="E496" i="1"/>
  <c r="F492" i="7"/>
  <c r="E489" i="7"/>
  <c r="F493" i="1"/>
  <c r="E493" i="1"/>
  <c r="F491" i="1"/>
  <c r="F490" i="7"/>
  <c r="D500" i="7"/>
  <c r="H33" i="10" s="1"/>
  <c r="F492" i="1"/>
  <c r="D500" i="1"/>
  <c r="D33" i="10" s="1"/>
  <c r="E494" i="1"/>
  <c r="E489" i="1"/>
  <c r="E497" i="1"/>
  <c r="E490" i="1"/>
  <c r="G487" i="7"/>
  <c r="C487" i="7"/>
  <c r="B487" i="7"/>
  <c r="D486" i="7"/>
  <c r="F486" i="7" s="1"/>
  <c r="D485" i="7"/>
  <c r="F485" i="7" s="1"/>
  <c r="D484" i="7"/>
  <c r="F484" i="7" s="1"/>
  <c r="D483" i="7"/>
  <c r="E483" i="7" s="1"/>
  <c r="D482" i="7"/>
  <c r="E482" i="7" s="1"/>
  <c r="D481" i="7"/>
  <c r="E481" i="7" s="1"/>
  <c r="D480" i="7"/>
  <c r="F480" i="7" s="1"/>
  <c r="D479" i="7"/>
  <c r="F479" i="7" s="1"/>
  <c r="D478" i="7"/>
  <c r="F478" i="7" s="1"/>
  <c r="D477" i="7"/>
  <c r="E477" i="7" s="1"/>
  <c r="D476" i="7"/>
  <c r="F476" i="7" s="1"/>
  <c r="D475" i="7"/>
  <c r="G487" i="1"/>
  <c r="B32" i="10" s="1"/>
  <c r="C487" i="1"/>
  <c r="B487" i="1"/>
  <c r="D486" i="1"/>
  <c r="F486" i="1" s="1"/>
  <c r="D485" i="1"/>
  <c r="F485" i="1" s="1"/>
  <c r="D484" i="1"/>
  <c r="F484" i="1" s="1"/>
  <c r="D483" i="1"/>
  <c r="F483" i="1" s="1"/>
  <c r="D482" i="1"/>
  <c r="E482" i="1" s="1"/>
  <c r="D481" i="1"/>
  <c r="E481" i="1" s="1"/>
  <c r="D480" i="1"/>
  <c r="E480" i="1" s="1"/>
  <c r="D479" i="1"/>
  <c r="D478" i="1"/>
  <c r="F478" i="1" s="1"/>
  <c r="D477" i="1"/>
  <c r="F477" i="1" s="1"/>
  <c r="D476" i="1"/>
  <c r="D475" i="1"/>
  <c r="G34" i="10" l="1"/>
  <c r="C34" i="10"/>
  <c r="E34" i="10"/>
  <c r="J33" i="10"/>
  <c r="L33" i="10"/>
  <c r="F481" i="7"/>
  <c r="E500" i="7"/>
  <c r="F32" i="10"/>
  <c r="E488" i="7"/>
  <c r="F488" i="7"/>
  <c r="F500" i="7" s="1"/>
  <c r="E488" i="1"/>
  <c r="F488" i="1"/>
  <c r="E500" i="1"/>
  <c r="F482" i="7"/>
  <c r="F479" i="1"/>
  <c r="D487" i="1"/>
  <c r="D32" i="10" s="1"/>
  <c r="E478" i="7"/>
  <c r="F477" i="7"/>
  <c r="D487" i="7"/>
  <c r="H32" i="10" s="1"/>
  <c r="E485" i="7"/>
  <c r="E486" i="7"/>
  <c r="F483" i="7"/>
  <c r="E476" i="7"/>
  <c r="E484" i="7"/>
  <c r="E479" i="7"/>
  <c r="E480" i="7"/>
  <c r="F481" i="1"/>
  <c r="F482" i="1"/>
  <c r="E483" i="1"/>
  <c r="F480" i="1"/>
  <c r="E478" i="1"/>
  <c r="E486" i="1"/>
  <c r="E484" i="1"/>
  <c r="F476" i="1"/>
  <c r="E479" i="1"/>
  <c r="E477" i="1"/>
  <c r="E485" i="1"/>
  <c r="E476" i="1"/>
  <c r="G474" i="7"/>
  <c r="K34" i="10" l="1"/>
  <c r="M34" i="10"/>
  <c r="G33" i="10"/>
  <c r="I33" i="10"/>
  <c r="E33" i="10"/>
  <c r="C33" i="10"/>
  <c r="F500" i="1"/>
  <c r="J32" i="10"/>
  <c r="E487" i="7"/>
  <c r="L32" i="10"/>
  <c r="E475" i="7"/>
  <c r="F475" i="7"/>
  <c r="F487" i="7" s="1"/>
  <c r="F31" i="10"/>
  <c r="G32" i="10" s="1"/>
  <c r="C474" i="7"/>
  <c r="B474" i="7"/>
  <c r="D473" i="7"/>
  <c r="E473" i="7" s="1"/>
  <c r="D472" i="7"/>
  <c r="F472" i="7" s="1"/>
  <c r="D471" i="7"/>
  <c r="F471" i="7" s="1"/>
  <c r="D470" i="7"/>
  <c r="E470" i="7" s="1"/>
  <c r="D469" i="7"/>
  <c r="E469" i="7" s="1"/>
  <c r="D468" i="7"/>
  <c r="F468" i="7" s="1"/>
  <c r="D467" i="7"/>
  <c r="F467" i="7" s="1"/>
  <c r="D466" i="7"/>
  <c r="E466" i="7" s="1"/>
  <c r="D465" i="7"/>
  <c r="E465" i="7" s="1"/>
  <c r="D464" i="7"/>
  <c r="E464" i="7" s="1"/>
  <c r="D463" i="7"/>
  <c r="F463" i="7" s="1"/>
  <c r="D462" i="7"/>
  <c r="G474" i="1"/>
  <c r="E487" i="1" s="1"/>
  <c r="C474" i="1"/>
  <c r="B474" i="1"/>
  <c r="D473" i="1"/>
  <c r="F473" i="1" s="1"/>
  <c r="D472" i="1"/>
  <c r="E472" i="1" s="1"/>
  <c r="D471" i="1"/>
  <c r="E471" i="1" s="1"/>
  <c r="D470" i="1"/>
  <c r="F470" i="1" s="1"/>
  <c r="D469" i="1"/>
  <c r="F469" i="1" s="1"/>
  <c r="D468" i="1"/>
  <c r="E468" i="1" s="1"/>
  <c r="D467" i="1"/>
  <c r="E467" i="1" s="1"/>
  <c r="D466" i="1"/>
  <c r="F466" i="1" s="1"/>
  <c r="D465" i="1"/>
  <c r="F465" i="1" s="1"/>
  <c r="D464" i="1"/>
  <c r="F464" i="1" s="1"/>
  <c r="D463" i="1"/>
  <c r="E463" i="1" s="1"/>
  <c r="D462" i="1"/>
  <c r="D454" i="1"/>
  <c r="F454" i="1" s="1"/>
  <c r="D455" i="1"/>
  <c r="F455" i="1" s="1"/>
  <c r="D456" i="1"/>
  <c r="E456" i="1" s="1"/>
  <c r="D457" i="1"/>
  <c r="D458" i="1"/>
  <c r="F458" i="1" s="1"/>
  <c r="D459" i="1"/>
  <c r="F459" i="1" s="1"/>
  <c r="D460" i="1"/>
  <c r="F460" i="1" s="1"/>
  <c r="D452" i="7"/>
  <c r="E452" i="7" s="1"/>
  <c r="G461" i="7"/>
  <c r="C461" i="7"/>
  <c r="B461" i="7"/>
  <c r="D460" i="7"/>
  <c r="D459" i="7"/>
  <c r="E459" i="7" s="1"/>
  <c r="D458" i="7"/>
  <c r="F458" i="7" s="1"/>
  <c r="D457" i="7"/>
  <c r="D456" i="7"/>
  <c r="F456" i="7" s="1"/>
  <c r="D455" i="7"/>
  <c r="D454" i="7"/>
  <c r="F454" i="7" s="1"/>
  <c r="D453" i="7"/>
  <c r="F453" i="7" s="1"/>
  <c r="F452" i="7"/>
  <c r="D451" i="7"/>
  <c r="F451" i="7" s="1"/>
  <c r="D450" i="7"/>
  <c r="E450" i="7" s="1"/>
  <c r="D449" i="7"/>
  <c r="G461" i="1"/>
  <c r="C461" i="1"/>
  <c r="B461" i="1"/>
  <c r="D453" i="1"/>
  <c r="F453" i="1" s="1"/>
  <c r="D452" i="1"/>
  <c r="F452" i="1" s="1"/>
  <c r="D451" i="1"/>
  <c r="F451" i="1" s="1"/>
  <c r="D450" i="1"/>
  <c r="D449" i="1"/>
  <c r="D447" i="7"/>
  <c r="F447" i="7" s="1"/>
  <c r="D446" i="7"/>
  <c r="F446" i="7" s="1"/>
  <c r="D444" i="7"/>
  <c r="F444" i="7" s="1"/>
  <c r="D445" i="7"/>
  <c r="E445" i="7" s="1"/>
  <c r="D443" i="7"/>
  <c r="E443" i="7" s="1"/>
  <c r="D442" i="7"/>
  <c r="F442" i="7" s="1"/>
  <c r="D441" i="7"/>
  <c r="F441" i="7" s="1"/>
  <c r="D434" i="7"/>
  <c r="F434" i="7" s="1"/>
  <c r="G448" i="7"/>
  <c r="F29" i="10" s="1"/>
  <c r="C448" i="7"/>
  <c r="B448" i="7"/>
  <c r="D440" i="7"/>
  <c r="F440" i="7" s="1"/>
  <c r="D439" i="7"/>
  <c r="F439" i="7" s="1"/>
  <c r="D438" i="7"/>
  <c r="E438" i="7" s="1"/>
  <c r="D437" i="7"/>
  <c r="F437" i="7" s="1"/>
  <c r="D436" i="7"/>
  <c r="E436" i="7" s="1"/>
  <c r="G448" i="1"/>
  <c r="C448" i="1"/>
  <c r="B448" i="1"/>
  <c r="D447" i="1"/>
  <c r="E447" i="1" s="1"/>
  <c r="D446" i="1"/>
  <c r="F446" i="1" s="1"/>
  <c r="D445" i="1"/>
  <c r="E445" i="1" s="1"/>
  <c r="D444" i="1"/>
  <c r="E444" i="1" s="1"/>
  <c r="D443" i="1"/>
  <c r="F443" i="1" s="1"/>
  <c r="D442" i="1"/>
  <c r="E442" i="1" s="1"/>
  <c r="D441" i="1"/>
  <c r="E441" i="1" s="1"/>
  <c r="D440" i="1"/>
  <c r="E440" i="1" s="1"/>
  <c r="D439" i="1"/>
  <c r="E439" i="1" s="1"/>
  <c r="D438" i="1"/>
  <c r="F438" i="1" s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F430" i="7" s="1"/>
  <c r="D431" i="1"/>
  <c r="E431" i="1" s="1"/>
  <c r="D430" i="1"/>
  <c r="E430" i="1" s="1"/>
  <c r="D429" i="7"/>
  <c r="E429" i="7" s="1"/>
  <c r="D429" i="1"/>
  <c r="F429" i="1" s="1"/>
  <c r="D428" i="7"/>
  <c r="E428" i="7" s="1"/>
  <c r="D428" i="1"/>
  <c r="E428" i="1" s="1"/>
  <c r="D427" i="7"/>
  <c r="F427" i="7" s="1"/>
  <c r="D427" i="1"/>
  <c r="F427" i="1" s="1"/>
  <c r="D426" i="7"/>
  <c r="F426" i="7" s="1"/>
  <c r="D426" i="1"/>
  <c r="F426" i="1" s="1"/>
  <c r="D425" i="7"/>
  <c r="E425" i="7" s="1"/>
  <c r="D425" i="1"/>
  <c r="F425" i="1" s="1"/>
  <c r="D424" i="7"/>
  <c r="F424" i="7" s="1"/>
  <c r="D424" i="1"/>
  <c r="F424" i="1" s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F413" i="1" s="1"/>
  <c r="D414" i="1"/>
  <c r="E414" i="1" s="1"/>
  <c r="D415" i="1"/>
  <c r="F415" i="1" s="1"/>
  <c r="D416" i="1"/>
  <c r="D417" i="1"/>
  <c r="F417" i="1" s="1"/>
  <c r="D418" i="1"/>
  <c r="F418" i="1" s="1"/>
  <c r="D419" i="1"/>
  <c r="E419" i="1" s="1"/>
  <c r="D420" i="1"/>
  <c r="F420" i="1" s="1"/>
  <c r="D421" i="1"/>
  <c r="E421" i="1" s="1"/>
  <c r="D421" i="7"/>
  <c r="E421" i="7" s="1"/>
  <c r="D420" i="7"/>
  <c r="F420" i="7" s="1"/>
  <c r="D419" i="7"/>
  <c r="E419" i="7" s="1"/>
  <c r="D417" i="7"/>
  <c r="F417" i="7" s="1"/>
  <c r="D418" i="7"/>
  <c r="E418" i="7" s="1"/>
  <c r="D416" i="7"/>
  <c r="D415" i="7"/>
  <c r="F415" i="7" s="1"/>
  <c r="D414" i="7"/>
  <c r="F414" i="7" s="1"/>
  <c r="D412" i="7"/>
  <c r="F412" i="7" s="1"/>
  <c r="D413" i="7"/>
  <c r="F413" i="7" s="1"/>
  <c r="G422" i="7"/>
  <c r="F27" i="10" s="1"/>
  <c r="C422" i="7"/>
  <c r="B422" i="7"/>
  <c r="G422" i="1"/>
  <c r="D411" i="7"/>
  <c r="E411" i="7" s="1"/>
  <c r="D410" i="7"/>
  <c r="E410" i="7" s="1"/>
  <c r="C422" i="1"/>
  <c r="B422" i="1"/>
  <c r="D410" i="1"/>
  <c r="F410" i="1" s="1"/>
  <c r="G396" i="7"/>
  <c r="F25" i="10" s="1"/>
  <c r="G409" i="7"/>
  <c r="F26" i="10" s="1"/>
  <c r="D408" i="7"/>
  <c r="F408" i="7" s="1"/>
  <c r="D408" i="1"/>
  <c r="F408" i="1" s="1"/>
  <c r="D407" i="7"/>
  <c r="F407" i="7" s="1"/>
  <c r="D407" i="1"/>
  <c r="F407" i="1" s="1"/>
  <c r="D406" i="1"/>
  <c r="E406" i="1" s="1"/>
  <c r="D405" i="1"/>
  <c r="F405" i="1" s="1"/>
  <c r="D404" i="1"/>
  <c r="E404" i="1" s="1"/>
  <c r="D403" i="1"/>
  <c r="F403" i="1" s="1"/>
  <c r="D402" i="1"/>
  <c r="F402" i="1" s="1"/>
  <c r="D401" i="1"/>
  <c r="E401" i="1" s="1"/>
  <c r="D406" i="7"/>
  <c r="E406" i="7" s="1"/>
  <c r="D405" i="7"/>
  <c r="E405" i="7" s="1"/>
  <c r="D404" i="7"/>
  <c r="F404" i="7" s="1"/>
  <c r="D403" i="7"/>
  <c r="F403" i="7" s="1"/>
  <c r="D402" i="7"/>
  <c r="E402" i="7" s="1"/>
  <c r="D401" i="7"/>
  <c r="E401" i="7" s="1"/>
  <c r="D400" i="7"/>
  <c r="E400" i="7" s="1"/>
  <c r="D399" i="7"/>
  <c r="F399" i="7" s="1"/>
  <c r="D398" i="7"/>
  <c r="E398" i="7" s="1"/>
  <c r="D397" i="7"/>
  <c r="F397" i="7" s="1"/>
  <c r="D395" i="7"/>
  <c r="E395" i="7" s="1"/>
  <c r="D394" i="7"/>
  <c r="E394" i="7" s="1"/>
  <c r="C409" i="7"/>
  <c r="B409" i="7"/>
  <c r="D400" i="1"/>
  <c r="E400" i="1" s="1"/>
  <c r="D399" i="1"/>
  <c r="E399" i="1" s="1"/>
  <c r="D397" i="1"/>
  <c r="E397" i="1" s="1"/>
  <c r="G409" i="1"/>
  <c r="B26" i="10" s="1"/>
  <c r="D398" i="1"/>
  <c r="E398" i="1" s="1"/>
  <c r="E389" i="1"/>
  <c r="F389" i="1"/>
  <c r="E390" i="1"/>
  <c r="F390" i="1"/>
  <c r="E391" i="1"/>
  <c r="F391" i="1"/>
  <c r="E392" i="1"/>
  <c r="F392" i="1"/>
  <c r="E393" i="1"/>
  <c r="F393" i="1"/>
  <c r="F394" i="1"/>
  <c r="E395" i="1"/>
  <c r="F395" i="1"/>
  <c r="C409" i="1"/>
  <c r="B409" i="1"/>
  <c r="D393" i="7"/>
  <c r="F393" i="7" s="1"/>
  <c r="D392" i="7"/>
  <c r="F392" i="7" s="1"/>
  <c r="F386" i="7"/>
  <c r="F387" i="7"/>
  <c r="F388" i="7"/>
  <c r="F389" i="7"/>
  <c r="F390" i="7"/>
  <c r="F391" i="7"/>
  <c r="E386" i="7"/>
  <c r="E387" i="7"/>
  <c r="E388" i="7"/>
  <c r="E389" i="7"/>
  <c r="E390" i="7"/>
  <c r="E391" i="7"/>
  <c r="G396" i="1"/>
  <c r="B25" i="10" s="1"/>
  <c r="E388" i="1"/>
  <c r="F388" i="1"/>
  <c r="F386" i="1"/>
  <c r="F387" i="1"/>
  <c r="E385" i="1"/>
  <c r="E384" i="1"/>
  <c r="E386" i="1"/>
  <c r="F385" i="7"/>
  <c r="E385" i="7"/>
  <c r="F385" i="1"/>
  <c r="F384" i="7"/>
  <c r="E384" i="7"/>
  <c r="C396" i="7"/>
  <c r="B396" i="7"/>
  <c r="C396" i="1"/>
  <c r="B396" i="1"/>
  <c r="F384" i="1"/>
  <c r="G383" i="7"/>
  <c r="F24" i="10" s="1"/>
  <c r="F382" i="7"/>
  <c r="E382" i="7"/>
  <c r="F381" i="7"/>
  <c r="E381" i="7"/>
  <c r="J52" i="11"/>
  <c r="G383" i="1"/>
  <c r="B24" i="10" s="1"/>
  <c r="F381" i="1"/>
  <c r="E377" i="7"/>
  <c r="E378" i="7"/>
  <c r="E379" i="7"/>
  <c r="E380" i="7"/>
  <c r="B370" i="1"/>
  <c r="B383" i="1"/>
  <c r="E376" i="7"/>
  <c r="B279" i="7"/>
  <c r="C279" i="7"/>
  <c r="F330" i="7"/>
  <c r="E329" i="7"/>
  <c r="F328" i="7"/>
  <c r="E327" i="7"/>
  <c r="F326" i="7"/>
  <c r="E325" i="7"/>
  <c r="F324" i="7"/>
  <c r="E323" i="7"/>
  <c r="F322" i="7"/>
  <c r="E321" i="7"/>
  <c r="E319" i="7"/>
  <c r="E324" i="7"/>
  <c r="F323" i="7"/>
  <c r="F320" i="7"/>
  <c r="E320" i="7"/>
  <c r="F319" i="7"/>
  <c r="F317" i="7"/>
  <c r="E317" i="7"/>
  <c r="F316" i="7"/>
  <c r="E316" i="7"/>
  <c r="F315" i="7"/>
  <c r="E315" i="7"/>
  <c r="F314" i="7"/>
  <c r="E314" i="7"/>
  <c r="F313" i="7"/>
  <c r="E313" i="7"/>
  <c r="F312" i="7"/>
  <c r="E312" i="7"/>
  <c r="F311" i="7"/>
  <c r="E311" i="7"/>
  <c r="F310" i="7"/>
  <c r="E310" i="7"/>
  <c r="F309" i="7"/>
  <c r="E309" i="7"/>
  <c r="F308" i="7"/>
  <c r="E308" i="7"/>
  <c r="F307" i="7"/>
  <c r="E307" i="7"/>
  <c r="F306" i="7"/>
  <c r="E306" i="7"/>
  <c r="F304" i="7"/>
  <c r="E304" i="7"/>
  <c r="F303" i="7"/>
  <c r="E303" i="7"/>
  <c r="F302" i="7"/>
  <c r="E302" i="7"/>
  <c r="F301" i="7"/>
  <c r="E301" i="7"/>
  <c r="F300" i="7"/>
  <c r="E300" i="7"/>
  <c r="F299" i="7"/>
  <c r="E299" i="7"/>
  <c r="F298" i="7"/>
  <c r="E298" i="7"/>
  <c r="F297" i="7"/>
  <c r="E297" i="7"/>
  <c r="F296" i="7"/>
  <c r="E296" i="7"/>
  <c r="F295" i="7"/>
  <c r="E295" i="7"/>
  <c r="F294" i="7"/>
  <c r="E294" i="7"/>
  <c r="F293" i="7"/>
  <c r="E293" i="7"/>
  <c r="F291" i="7"/>
  <c r="E291" i="7"/>
  <c r="F290" i="7"/>
  <c r="E290" i="7"/>
  <c r="F289" i="7"/>
  <c r="E289" i="7"/>
  <c r="F288" i="7"/>
  <c r="E288" i="7"/>
  <c r="F287" i="7"/>
  <c r="E287" i="7"/>
  <c r="F286" i="7"/>
  <c r="E286" i="7"/>
  <c r="F285" i="7"/>
  <c r="E285" i="7"/>
  <c r="F284" i="7"/>
  <c r="E284" i="7"/>
  <c r="F283" i="7"/>
  <c r="E283" i="7"/>
  <c r="F282" i="7"/>
  <c r="E282" i="7"/>
  <c r="F281" i="7"/>
  <c r="E281" i="7"/>
  <c r="F280" i="7"/>
  <c r="E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E332" i="7"/>
  <c r="E333" i="7"/>
  <c r="F333" i="7"/>
  <c r="E334" i="7"/>
  <c r="F334" i="7"/>
  <c r="E335" i="7"/>
  <c r="F335" i="7"/>
  <c r="E336" i="7"/>
  <c r="F336" i="7"/>
  <c r="C383" i="7"/>
  <c r="B383" i="7"/>
  <c r="G370" i="7"/>
  <c r="F23" i="10" s="1"/>
  <c r="G23" i="10" s="1"/>
  <c r="D370" i="7"/>
  <c r="C370" i="7"/>
  <c r="B370" i="7"/>
  <c r="G357" i="7"/>
  <c r="D357" i="7"/>
  <c r="B357" i="7"/>
  <c r="G344" i="7"/>
  <c r="D344" i="7"/>
  <c r="C344" i="7"/>
  <c r="B344" i="7"/>
  <c r="G331" i="7"/>
  <c r="D331" i="7"/>
  <c r="C331" i="7"/>
  <c r="B331" i="7"/>
  <c r="G318" i="7"/>
  <c r="D318" i="7"/>
  <c r="C318" i="7"/>
  <c r="B318" i="7"/>
  <c r="G305" i="7"/>
  <c r="D305" i="7"/>
  <c r="C305" i="7"/>
  <c r="B305" i="7"/>
  <c r="G292" i="7"/>
  <c r="D292" i="7"/>
  <c r="C292" i="7"/>
  <c r="B292" i="7"/>
  <c r="G279" i="7"/>
  <c r="D279" i="7"/>
  <c r="E279" i="7" s="1"/>
  <c r="E337" i="7"/>
  <c r="F337" i="7"/>
  <c r="E338" i="7"/>
  <c r="F338" i="7"/>
  <c r="E339" i="7"/>
  <c r="F339" i="7"/>
  <c r="E340" i="7"/>
  <c r="F340" i="7"/>
  <c r="E341" i="7"/>
  <c r="F341" i="7"/>
  <c r="E342" i="7"/>
  <c r="F342" i="7"/>
  <c r="E343" i="7"/>
  <c r="F343" i="7"/>
  <c r="C345" i="7"/>
  <c r="E345" i="7"/>
  <c r="F345" i="7"/>
  <c r="C346" i="7"/>
  <c r="E346" i="7"/>
  <c r="F346" i="7"/>
  <c r="C347" i="7"/>
  <c r="E347" i="7"/>
  <c r="F347" i="7"/>
  <c r="C348" i="7"/>
  <c r="E348" i="7"/>
  <c r="F348" i="7"/>
  <c r="C349" i="7"/>
  <c r="E349" i="7"/>
  <c r="F349" i="7"/>
  <c r="C350" i="7"/>
  <c r="E350" i="7"/>
  <c r="F350" i="7"/>
  <c r="C351" i="7"/>
  <c r="E351" i="7"/>
  <c r="F351" i="7"/>
  <c r="C352" i="7"/>
  <c r="E352" i="7"/>
  <c r="F352" i="7"/>
  <c r="C353" i="7"/>
  <c r="E353" i="7"/>
  <c r="F353" i="7"/>
  <c r="C354" i="7"/>
  <c r="E354" i="7"/>
  <c r="F354" i="7"/>
  <c r="C355" i="7"/>
  <c r="E355" i="7"/>
  <c r="F355" i="7"/>
  <c r="C356" i="7"/>
  <c r="E356" i="7"/>
  <c r="F356" i="7"/>
  <c r="E358" i="7"/>
  <c r="F358" i="7"/>
  <c r="E359" i="7"/>
  <c r="F359" i="7"/>
  <c r="E360" i="7"/>
  <c r="F360" i="7"/>
  <c r="E361" i="7"/>
  <c r="F361" i="7"/>
  <c r="E362" i="7"/>
  <c r="F362" i="7"/>
  <c r="E363" i="7"/>
  <c r="F363" i="7"/>
  <c r="E364" i="7"/>
  <c r="F364" i="7"/>
  <c r="E365" i="7"/>
  <c r="F365" i="7"/>
  <c r="E366" i="7"/>
  <c r="F366" i="7"/>
  <c r="E367" i="7"/>
  <c r="F367" i="7"/>
  <c r="E368" i="7"/>
  <c r="F368" i="7"/>
  <c r="E369" i="7"/>
  <c r="F369" i="7"/>
  <c r="E371" i="7"/>
  <c r="F371" i="7"/>
  <c r="E372" i="7"/>
  <c r="E373" i="7"/>
  <c r="E374" i="7"/>
  <c r="E375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B33" i="1"/>
  <c r="B20" i="1" s="1"/>
  <c r="E33" i="1"/>
  <c r="F33" i="1"/>
  <c r="B34" i="1"/>
  <c r="B21" i="1" s="1"/>
  <c r="E34" i="1"/>
  <c r="F34" i="1"/>
  <c r="B35" i="1"/>
  <c r="B22" i="1" s="1"/>
  <c r="E35" i="1"/>
  <c r="F35" i="1"/>
  <c r="B36" i="1"/>
  <c r="B23" i="1" s="1"/>
  <c r="E36" i="1"/>
  <c r="F36" i="1"/>
  <c r="B37" i="1"/>
  <c r="B24" i="1" s="1"/>
  <c r="E37" i="1"/>
  <c r="F37" i="1"/>
  <c r="B38" i="1"/>
  <c r="B25" i="1" s="1"/>
  <c r="E38" i="1"/>
  <c r="F38" i="1"/>
  <c r="B39" i="1"/>
  <c r="B26" i="1" s="1"/>
  <c r="E39" i="1"/>
  <c r="F39" i="1"/>
  <c r="B40" i="1"/>
  <c r="B27" i="1" s="1"/>
  <c r="E40" i="1"/>
  <c r="F40" i="1"/>
  <c r="B41" i="1"/>
  <c r="B28" i="1" s="1"/>
  <c r="E41" i="1"/>
  <c r="F41" i="1"/>
  <c r="B42" i="1"/>
  <c r="B29" i="1" s="1"/>
  <c r="E42" i="1"/>
  <c r="F42" i="1"/>
  <c r="B43" i="1"/>
  <c r="B30" i="1" s="1"/>
  <c r="E43" i="1"/>
  <c r="F43" i="1"/>
  <c r="B44" i="1"/>
  <c r="B31" i="1" s="1"/>
  <c r="E44" i="1"/>
  <c r="F44" i="1"/>
  <c r="C45" i="1"/>
  <c r="D45" i="1"/>
  <c r="G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B58" i="1"/>
  <c r="C58" i="1"/>
  <c r="D58" i="1"/>
  <c r="G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B71" i="1"/>
  <c r="C71" i="1"/>
  <c r="D71" i="1"/>
  <c r="G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B84" i="1"/>
  <c r="C84" i="1"/>
  <c r="D84" i="1"/>
  <c r="G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B97" i="1"/>
  <c r="C97" i="1"/>
  <c r="D97" i="1"/>
  <c r="G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B110" i="1"/>
  <c r="C110" i="1"/>
  <c r="D110" i="1"/>
  <c r="G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B123" i="1"/>
  <c r="C123" i="1"/>
  <c r="D123" i="1"/>
  <c r="G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B136" i="1"/>
  <c r="C136" i="1"/>
  <c r="D136" i="1"/>
  <c r="G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B149" i="1"/>
  <c r="C149" i="1"/>
  <c r="D149" i="1"/>
  <c r="G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B162" i="1"/>
  <c r="C162" i="1"/>
  <c r="D162" i="1"/>
  <c r="G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B175" i="1"/>
  <c r="C175" i="1"/>
  <c r="D175" i="1"/>
  <c r="G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B182" i="1"/>
  <c r="E182" i="1"/>
  <c r="F182" i="1"/>
  <c r="B183" i="1"/>
  <c r="E183" i="1"/>
  <c r="F183" i="1"/>
  <c r="B184" i="1"/>
  <c r="E184" i="1"/>
  <c r="F184" i="1"/>
  <c r="B185" i="1"/>
  <c r="E185" i="1"/>
  <c r="F185" i="1"/>
  <c r="B186" i="1"/>
  <c r="E186" i="1"/>
  <c r="F186" i="1"/>
  <c r="B187" i="1"/>
  <c r="E187" i="1"/>
  <c r="F187" i="1"/>
  <c r="C188" i="1"/>
  <c r="D188" i="1"/>
  <c r="G188" i="1"/>
  <c r="B189" i="1"/>
  <c r="F189" i="1"/>
  <c r="B190" i="1"/>
  <c r="E190" i="1"/>
  <c r="F190" i="1"/>
  <c r="B191" i="1"/>
  <c r="E191" i="1"/>
  <c r="F191" i="1"/>
  <c r="B192" i="1"/>
  <c r="E192" i="1"/>
  <c r="F192" i="1"/>
  <c r="B193" i="1"/>
  <c r="E193" i="1"/>
  <c r="F193" i="1"/>
  <c r="B194" i="1"/>
  <c r="E194" i="1"/>
  <c r="F194" i="1"/>
  <c r="B195" i="1"/>
  <c r="E195" i="1"/>
  <c r="F195" i="1"/>
  <c r="B196" i="1"/>
  <c r="E196" i="1"/>
  <c r="F196" i="1"/>
  <c r="B197" i="1"/>
  <c r="E197" i="1"/>
  <c r="F197" i="1"/>
  <c r="B198" i="1"/>
  <c r="E198" i="1"/>
  <c r="F198" i="1"/>
  <c r="B199" i="1"/>
  <c r="E199" i="1"/>
  <c r="F199" i="1"/>
  <c r="B200" i="1"/>
  <c r="E200" i="1"/>
  <c r="F200" i="1"/>
  <c r="C201" i="1"/>
  <c r="D201" i="1"/>
  <c r="G201" i="1"/>
  <c r="B202" i="1"/>
  <c r="E202" i="1"/>
  <c r="F202" i="1"/>
  <c r="B203" i="1"/>
  <c r="E203" i="1"/>
  <c r="F203" i="1"/>
  <c r="B204" i="1"/>
  <c r="E204" i="1"/>
  <c r="F204" i="1"/>
  <c r="B205" i="1"/>
  <c r="E205" i="1"/>
  <c r="F205" i="1"/>
  <c r="B206" i="1"/>
  <c r="E206" i="1"/>
  <c r="F206" i="1"/>
  <c r="B207" i="1"/>
  <c r="E207" i="1"/>
  <c r="F207" i="1"/>
  <c r="B208" i="1"/>
  <c r="E208" i="1"/>
  <c r="F208" i="1"/>
  <c r="B209" i="1"/>
  <c r="E209" i="1"/>
  <c r="F209" i="1"/>
  <c r="B210" i="1"/>
  <c r="E210" i="1"/>
  <c r="F210" i="1"/>
  <c r="B211" i="1"/>
  <c r="E211" i="1"/>
  <c r="F211" i="1"/>
  <c r="B212" i="1"/>
  <c r="E212" i="1"/>
  <c r="F212" i="1"/>
  <c r="E213" i="1"/>
  <c r="F213" i="1"/>
  <c r="C214" i="1"/>
  <c r="D214" i="1"/>
  <c r="G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B227" i="1"/>
  <c r="C227" i="1"/>
  <c r="D227" i="1"/>
  <c r="G227" i="1"/>
  <c r="B228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B234" i="1"/>
  <c r="E234" i="1"/>
  <c r="F234" i="1"/>
  <c r="B235" i="1"/>
  <c r="E235" i="1"/>
  <c r="F235" i="1"/>
  <c r="B236" i="1"/>
  <c r="E236" i="1"/>
  <c r="F236" i="1"/>
  <c r="E237" i="1"/>
  <c r="F237" i="1"/>
  <c r="B238" i="1"/>
  <c r="E238" i="1"/>
  <c r="F238" i="1"/>
  <c r="B239" i="1"/>
  <c r="E239" i="1"/>
  <c r="F239" i="1"/>
  <c r="C240" i="1"/>
  <c r="D240" i="1"/>
  <c r="G240" i="1"/>
  <c r="B241" i="1"/>
  <c r="E241" i="1"/>
  <c r="F241" i="1"/>
  <c r="B242" i="1"/>
  <c r="E242" i="1"/>
  <c r="F242" i="1"/>
  <c r="B243" i="1"/>
  <c r="E243" i="1"/>
  <c r="F243" i="1"/>
  <c r="B244" i="1"/>
  <c r="E244" i="1"/>
  <c r="F244" i="1"/>
  <c r="B245" i="1"/>
  <c r="E245" i="1"/>
  <c r="F245" i="1"/>
  <c r="B246" i="1"/>
  <c r="E246" i="1"/>
  <c r="F246" i="1"/>
  <c r="B247" i="1"/>
  <c r="E247" i="1"/>
  <c r="F247" i="1"/>
  <c r="B248" i="1"/>
  <c r="E248" i="1"/>
  <c r="F248" i="1"/>
  <c r="B249" i="1"/>
  <c r="E249" i="1"/>
  <c r="F249" i="1"/>
  <c r="B250" i="1"/>
  <c r="E250" i="1"/>
  <c r="F250" i="1"/>
  <c r="B251" i="1"/>
  <c r="E251" i="1"/>
  <c r="F251" i="1"/>
  <c r="B252" i="1"/>
  <c r="E252" i="1"/>
  <c r="F252" i="1"/>
  <c r="C253" i="1"/>
  <c r="D253" i="1"/>
  <c r="G253" i="1"/>
  <c r="B254" i="1"/>
  <c r="E254" i="1"/>
  <c r="F254" i="1"/>
  <c r="B255" i="1"/>
  <c r="E255" i="1"/>
  <c r="F255" i="1"/>
  <c r="B256" i="1"/>
  <c r="E256" i="1"/>
  <c r="F256" i="1"/>
  <c r="B257" i="1"/>
  <c r="E257" i="1"/>
  <c r="F257" i="1"/>
  <c r="B258" i="1"/>
  <c r="E258" i="1"/>
  <c r="F258" i="1"/>
  <c r="B259" i="1"/>
  <c r="E259" i="1"/>
  <c r="F259" i="1"/>
  <c r="B260" i="1"/>
  <c r="E260" i="1"/>
  <c r="F260" i="1"/>
  <c r="B261" i="1"/>
  <c r="E261" i="1"/>
  <c r="F261" i="1"/>
  <c r="B262" i="1"/>
  <c r="E262" i="1"/>
  <c r="F262" i="1"/>
  <c r="B263" i="1"/>
  <c r="E263" i="1"/>
  <c r="F263" i="1"/>
  <c r="B264" i="1"/>
  <c r="E264" i="1"/>
  <c r="F264" i="1"/>
  <c r="B265" i="1"/>
  <c r="E265" i="1"/>
  <c r="F265" i="1"/>
  <c r="C266" i="1"/>
  <c r="D266" i="1"/>
  <c r="G266" i="1"/>
  <c r="B267" i="1"/>
  <c r="B279" i="1" s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C279" i="1"/>
  <c r="D279" i="1"/>
  <c r="G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B292" i="1"/>
  <c r="C292" i="1"/>
  <c r="D292" i="1"/>
  <c r="G292" i="1"/>
  <c r="C293" i="1"/>
  <c r="E293" i="1"/>
  <c r="F293" i="1"/>
  <c r="C294" i="1"/>
  <c r="E294" i="1"/>
  <c r="F294" i="1"/>
  <c r="C295" i="1"/>
  <c r="E295" i="1"/>
  <c r="F295" i="1"/>
  <c r="C296" i="1"/>
  <c r="E296" i="1"/>
  <c r="F296" i="1"/>
  <c r="C297" i="1"/>
  <c r="E297" i="1"/>
  <c r="F297" i="1"/>
  <c r="C298" i="1"/>
  <c r="E298" i="1"/>
  <c r="F298" i="1"/>
  <c r="C299" i="1"/>
  <c r="E299" i="1"/>
  <c r="F299" i="1"/>
  <c r="C300" i="1"/>
  <c r="E300" i="1"/>
  <c r="F300" i="1"/>
  <c r="C301" i="1"/>
  <c r="E301" i="1"/>
  <c r="F301" i="1"/>
  <c r="C302" i="1"/>
  <c r="E302" i="1"/>
  <c r="F302" i="1"/>
  <c r="C303" i="1"/>
  <c r="E303" i="1"/>
  <c r="F303" i="1"/>
  <c r="C304" i="1"/>
  <c r="E304" i="1"/>
  <c r="F304" i="1"/>
  <c r="B305" i="1"/>
  <c r="D305" i="1"/>
  <c r="G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B318" i="1"/>
  <c r="C318" i="1"/>
  <c r="D318" i="1"/>
  <c r="G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B331" i="1"/>
  <c r="C331" i="1"/>
  <c r="D331" i="1"/>
  <c r="G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B344" i="1"/>
  <c r="C344" i="1"/>
  <c r="D344" i="1"/>
  <c r="G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B357" i="1"/>
  <c r="C357" i="1"/>
  <c r="D357" i="1"/>
  <c r="G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C370" i="1"/>
  <c r="D370" i="1"/>
  <c r="G370" i="1"/>
  <c r="C383" i="1"/>
  <c r="F371" i="1"/>
  <c r="F375" i="7"/>
  <c r="D383" i="7"/>
  <c r="H24" i="10" s="1"/>
  <c r="E330" i="7"/>
  <c r="F329" i="7"/>
  <c r="E328" i="7"/>
  <c r="F327" i="7"/>
  <c r="E326" i="7"/>
  <c r="F325" i="7"/>
  <c r="E322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24" i="10" s="1"/>
  <c r="E387" i="1"/>
  <c r="D396" i="1"/>
  <c r="D25" i="10" s="1"/>
  <c r="E394" i="1"/>
  <c r="F398" i="7"/>
  <c r="E427" i="7"/>
  <c r="F425" i="7"/>
  <c r="F433" i="7"/>
  <c r="F438" i="7"/>
  <c r="F416" i="7"/>
  <c r="E416" i="7"/>
  <c r="E438" i="1"/>
  <c r="H52" i="11"/>
  <c r="H53" i="11" s="1"/>
  <c r="F429" i="7"/>
  <c r="E392" i="7"/>
  <c r="F445" i="7"/>
  <c r="F430" i="1"/>
  <c r="F404" i="1"/>
  <c r="E460" i="1"/>
  <c r="E437" i="7" l="1"/>
  <c r="E441" i="7"/>
  <c r="E439" i="7"/>
  <c r="E399" i="7"/>
  <c r="F401" i="7"/>
  <c r="M12" i="10"/>
  <c r="F405" i="7"/>
  <c r="E408" i="7"/>
  <c r="F318" i="7"/>
  <c r="E412" i="7"/>
  <c r="F443" i="7"/>
  <c r="K20" i="10"/>
  <c r="M16" i="10"/>
  <c r="F433" i="1"/>
  <c r="F419" i="1"/>
  <c r="E446" i="1"/>
  <c r="E240" i="1"/>
  <c r="F400" i="1"/>
  <c r="E472" i="7"/>
  <c r="F437" i="1"/>
  <c r="E188" i="1"/>
  <c r="F440" i="1"/>
  <c r="E452" i="1"/>
  <c r="E279" i="1"/>
  <c r="E451" i="1"/>
  <c r="E459" i="1"/>
  <c r="E292" i="1"/>
  <c r="E71" i="1"/>
  <c r="F56" i="11"/>
  <c r="G56" i="11" s="1"/>
  <c r="F16" i="11" s="1"/>
  <c r="F442" i="1"/>
  <c r="E444" i="7"/>
  <c r="E446" i="7"/>
  <c r="F456" i="1"/>
  <c r="F410" i="7"/>
  <c r="M21" i="10"/>
  <c r="M17" i="10"/>
  <c r="F411" i="7"/>
  <c r="K21" i="10"/>
  <c r="F469" i="7"/>
  <c r="F459" i="7"/>
  <c r="E415" i="7"/>
  <c r="E453" i="1"/>
  <c r="F428" i="1"/>
  <c r="K11" i="10"/>
  <c r="E427" i="1"/>
  <c r="E407" i="1"/>
  <c r="E227" i="1"/>
  <c r="M22" i="10"/>
  <c r="K18" i="10"/>
  <c r="E357" i="7"/>
  <c r="F447" i="1"/>
  <c r="M19" i="10"/>
  <c r="E331" i="7"/>
  <c r="F344" i="7"/>
  <c r="E462" i="7"/>
  <c r="F406" i="1"/>
  <c r="E430" i="7"/>
  <c r="F423" i="7"/>
  <c r="F434" i="1"/>
  <c r="F439" i="1"/>
  <c r="F431" i="1"/>
  <c r="E415" i="1"/>
  <c r="K10" i="10"/>
  <c r="E370" i="7"/>
  <c r="F418" i="7"/>
  <c r="F471" i="1"/>
  <c r="E443" i="1"/>
  <c r="E383" i="7"/>
  <c r="E397" i="7"/>
  <c r="E318" i="7"/>
  <c r="E344" i="7"/>
  <c r="E455" i="1"/>
  <c r="E425" i="1"/>
  <c r="E410" i="1"/>
  <c r="F399" i="1"/>
  <c r="F450" i="7"/>
  <c r="E456" i="7"/>
  <c r="E420" i="7"/>
  <c r="F431" i="7"/>
  <c r="F292" i="7"/>
  <c r="E404" i="7"/>
  <c r="E458" i="7"/>
  <c r="E449" i="7"/>
  <c r="F436" i="7"/>
  <c r="H23" i="10"/>
  <c r="I23" i="10" s="1"/>
  <c r="E453" i="7"/>
  <c r="F400" i="7"/>
  <c r="E407" i="7"/>
  <c r="F357" i="7"/>
  <c r="F428" i="7"/>
  <c r="E429" i="1"/>
  <c r="E357" i="1"/>
  <c r="F318" i="1"/>
  <c r="B253" i="1"/>
  <c r="E136" i="1"/>
  <c r="E110" i="1"/>
  <c r="E344" i="1"/>
  <c r="E318" i="1"/>
  <c r="F162" i="1"/>
  <c r="F123" i="1"/>
  <c r="E201" i="1"/>
  <c r="F414" i="1"/>
  <c r="M20" i="10"/>
  <c r="K16" i="10"/>
  <c r="K17" i="10"/>
  <c r="M15" i="10"/>
  <c r="M33" i="10"/>
  <c r="K33" i="10"/>
  <c r="G25" i="10"/>
  <c r="F398" i="1"/>
  <c r="F357" i="1"/>
  <c r="F344" i="1"/>
  <c r="F279" i="1"/>
  <c r="C357" i="7"/>
  <c r="E292" i="7"/>
  <c r="E408" i="1"/>
  <c r="E414" i="7"/>
  <c r="E214" i="1"/>
  <c r="M18" i="10"/>
  <c r="K12" i="10"/>
  <c r="F419" i="7"/>
  <c r="F445" i="1"/>
  <c r="E440" i="7"/>
  <c r="E418" i="1"/>
  <c r="E403" i="1"/>
  <c r="F383" i="7"/>
  <c r="E370" i="1"/>
  <c r="E266" i="1"/>
  <c r="E45" i="1"/>
  <c r="M14" i="10"/>
  <c r="F423" i="1"/>
  <c r="E447" i="7"/>
  <c r="K19" i="10"/>
  <c r="F465" i="7"/>
  <c r="D461" i="7"/>
  <c r="E402" i="1"/>
  <c r="F395" i="7"/>
  <c r="E393" i="7"/>
  <c r="E253" i="1"/>
  <c r="K14" i="10"/>
  <c r="F279" i="7"/>
  <c r="G26" i="10"/>
  <c r="F421" i="7"/>
  <c r="F432" i="7"/>
  <c r="E458" i="1"/>
  <c r="E424" i="1"/>
  <c r="E417" i="1"/>
  <c r="F402" i="7"/>
  <c r="F331" i="7"/>
  <c r="F136" i="1"/>
  <c r="F97" i="1"/>
  <c r="F71" i="1"/>
  <c r="F58" i="1"/>
  <c r="F45" i="1"/>
  <c r="F32" i="1"/>
  <c r="F406" i="7"/>
  <c r="F444" i="1"/>
  <c r="E468" i="7"/>
  <c r="I32" i="10"/>
  <c r="E426" i="1"/>
  <c r="F421" i="1"/>
  <c r="E305" i="1"/>
  <c r="F149" i="1"/>
  <c r="F397" i="1"/>
  <c r="B266" i="1"/>
  <c r="F253" i="1"/>
  <c r="B240" i="1"/>
  <c r="F266" i="1"/>
  <c r="E175" i="1"/>
  <c r="F449" i="1"/>
  <c r="E413" i="1"/>
  <c r="F201" i="1"/>
  <c r="F331" i="1"/>
  <c r="E383" i="1"/>
  <c r="C4" i="11"/>
  <c r="F449" i="7"/>
  <c r="F30" i="10"/>
  <c r="G31" i="10" s="1"/>
  <c r="E162" i="1"/>
  <c r="E436" i="1"/>
  <c r="F475" i="1"/>
  <c r="F487" i="1" s="1"/>
  <c r="E475" i="1"/>
  <c r="E331" i="1"/>
  <c r="E84" i="1"/>
  <c r="E58" i="1"/>
  <c r="F441" i="1"/>
  <c r="E149" i="1"/>
  <c r="F188" i="1"/>
  <c r="F467" i="1"/>
  <c r="B27" i="10"/>
  <c r="C27" i="10" s="1"/>
  <c r="F436" i="1"/>
  <c r="E449" i="1"/>
  <c r="E23" i="10"/>
  <c r="E423" i="1"/>
  <c r="B28" i="10"/>
  <c r="J28" i="10" s="1"/>
  <c r="J22" i="10"/>
  <c r="K22" i="10" s="1"/>
  <c r="B29" i="10"/>
  <c r="L24" i="10"/>
  <c r="F84" i="1"/>
  <c r="B32" i="1"/>
  <c r="E454" i="1"/>
  <c r="E396" i="1"/>
  <c r="F370" i="1"/>
  <c r="F305" i="1"/>
  <c r="B188" i="1"/>
  <c r="F175" i="1"/>
  <c r="F383" i="1"/>
  <c r="F214" i="1"/>
  <c r="B214" i="1"/>
  <c r="B201" i="1"/>
  <c r="E123" i="1"/>
  <c r="E97" i="1"/>
  <c r="F396" i="1"/>
  <c r="C305" i="1"/>
  <c r="F292" i="1"/>
  <c r="F240" i="1"/>
  <c r="F227" i="1"/>
  <c r="B31" i="10"/>
  <c r="F54" i="11"/>
  <c r="G54" i="11" s="1"/>
  <c r="F14" i="11" s="1"/>
  <c r="F58" i="11"/>
  <c r="G58" i="11" s="1"/>
  <c r="F18" i="11" s="1"/>
  <c r="F53" i="11"/>
  <c r="G53" i="11" s="1"/>
  <c r="F13" i="11" s="1"/>
  <c r="F51" i="11"/>
  <c r="G51" i="11" s="1"/>
  <c r="F62" i="11"/>
  <c r="G62" i="11" s="1"/>
  <c r="F22" i="11" s="1"/>
  <c r="F59" i="11"/>
  <c r="G59" i="11" s="1"/>
  <c r="F19" i="11" s="1"/>
  <c r="F57" i="11"/>
  <c r="G57" i="11" s="1"/>
  <c r="F17" i="11" s="1"/>
  <c r="F60" i="11"/>
  <c r="G60" i="11" s="1"/>
  <c r="F20" i="11" s="1"/>
  <c r="F55" i="11"/>
  <c r="G55" i="11" s="1"/>
  <c r="F15" i="11" s="1"/>
  <c r="F52" i="11"/>
  <c r="G52" i="11" s="1"/>
  <c r="F12" i="11" s="1"/>
  <c r="F61" i="11"/>
  <c r="G61" i="11" s="1"/>
  <c r="F21" i="11" s="1"/>
  <c r="D422" i="1"/>
  <c r="F412" i="1"/>
  <c r="E424" i="7"/>
  <c r="E413" i="7"/>
  <c r="D409" i="7"/>
  <c r="F394" i="7"/>
  <c r="K15" i="10"/>
  <c r="M13" i="10"/>
  <c r="F305" i="7"/>
  <c r="D435" i="7"/>
  <c r="E423" i="7"/>
  <c r="E450" i="1"/>
  <c r="F450" i="1"/>
  <c r="E460" i="7"/>
  <c r="F460" i="7"/>
  <c r="D448" i="1"/>
  <c r="F401" i="1"/>
  <c r="D422" i="7"/>
  <c r="E405" i="1"/>
  <c r="J23" i="10"/>
  <c r="D396" i="7"/>
  <c r="D448" i="7"/>
  <c r="F432" i="1"/>
  <c r="E420" i="1"/>
  <c r="B45" i="1"/>
  <c r="F110" i="1"/>
  <c r="K13" i="10"/>
  <c r="F370" i="7"/>
  <c r="E305" i="7"/>
  <c r="E434" i="7"/>
  <c r="E442" i="7"/>
  <c r="E451" i="7"/>
  <c r="E416" i="1"/>
  <c r="F416" i="1"/>
  <c r="E454" i="7"/>
  <c r="D409" i="1"/>
  <c r="D435" i="1"/>
  <c r="E426" i="7"/>
  <c r="J24" i="10"/>
  <c r="E417" i="7"/>
  <c r="E403" i="7"/>
  <c r="F455" i="7"/>
  <c r="E455" i="7"/>
  <c r="E457" i="7"/>
  <c r="F457" i="7"/>
  <c r="D461" i="1"/>
  <c r="F457" i="1"/>
  <c r="E457" i="1"/>
  <c r="C23" i="10"/>
  <c r="F462" i="1"/>
  <c r="E462" i="1"/>
  <c r="C24" i="10"/>
  <c r="E25" i="10"/>
  <c r="G29" i="10"/>
  <c r="E24" i="10"/>
  <c r="G24" i="10"/>
  <c r="D474" i="7"/>
  <c r="F464" i="7"/>
  <c r="F473" i="7"/>
  <c r="G28" i="10"/>
  <c r="G27" i="10"/>
  <c r="I24" i="10"/>
  <c r="F462" i="7"/>
  <c r="F466" i="7"/>
  <c r="F470" i="7"/>
  <c r="J26" i="10"/>
  <c r="E463" i="7"/>
  <c r="E467" i="7"/>
  <c r="E471" i="7"/>
  <c r="D474" i="1"/>
  <c r="F463" i="1"/>
  <c r="E464" i="1"/>
  <c r="E466" i="1"/>
  <c r="E470" i="1"/>
  <c r="F468" i="1"/>
  <c r="F472" i="1"/>
  <c r="C26" i="10"/>
  <c r="C25" i="10"/>
  <c r="J25" i="10"/>
  <c r="B30" i="10"/>
  <c r="E465" i="1"/>
  <c r="E469" i="1"/>
  <c r="E473" i="1"/>
  <c r="E16" i="11" l="1"/>
  <c r="D16" i="11"/>
  <c r="H16" i="11"/>
  <c r="G16" i="11"/>
  <c r="C16" i="11"/>
  <c r="H18" i="11"/>
  <c r="G18" i="11"/>
  <c r="C18" i="11"/>
  <c r="E18" i="11"/>
  <c r="D18" i="11"/>
  <c r="C14" i="11"/>
  <c r="G14" i="11"/>
  <c r="E14" i="11"/>
  <c r="H14" i="11"/>
  <c r="D14" i="11"/>
  <c r="H13" i="11"/>
  <c r="E13" i="11"/>
  <c r="G13" i="11"/>
  <c r="D13" i="11"/>
  <c r="C13" i="11"/>
  <c r="H21" i="11"/>
  <c r="D21" i="11"/>
  <c r="G21" i="11"/>
  <c r="C21" i="11"/>
  <c r="E21" i="11"/>
  <c r="H12" i="11"/>
  <c r="G12" i="11"/>
  <c r="D12" i="11"/>
  <c r="C12" i="11"/>
  <c r="E12" i="11"/>
  <c r="H15" i="11"/>
  <c r="G15" i="11"/>
  <c r="C15" i="11"/>
  <c r="E15" i="11"/>
  <c r="D15" i="11"/>
  <c r="H11" i="11"/>
  <c r="G11" i="11"/>
  <c r="F11" i="11"/>
  <c r="E11" i="11"/>
  <c r="M29" i="11" s="1"/>
  <c r="C11" i="11"/>
  <c r="D11" i="11"/>
  <c r="D20" i="11"/>
  <c r="C20" i="11"/>
  <c r="H20" i="11"/>
  <c r="G20" i="11"/>
  <c r="E20" i="11"/>
  <c r="H17" i="11"/>
  <c r="C17" i="11"/>
  <c r="G17" i="11"/>
  <c r="E17" i="11"/>
  <c r="D17" i="11"/>
  <c r="H19" i="11"/>
  <c r="E19" i="11"/>
  <c r="G19" i="11"/>
  <c r="D19" i="11"/>
  <c r="C19" i="11"/>
  <c r="C22" i="11"/>
  <c r="H22" i="11"/>
  <c r="E22" i="11"/>
  <c r="G22" i="11"/>
  <c r="D22" i="11"/>
  <c r="F448" i="7"/>
  <c r="L23" i="10"/>
  <c r="M23" i="10" s="1"/>
  <c r="F422" i="7"/>
  <c r="F435" i="7"/>
  <c r="F396" i="7"/>
  <c r="F409" i="1"/>
  <c r="C28" i="10"/>
  <c r="F435" i="1"/>
  <c r="H30" i="10"/>
  <c r="I30" i="10" s="1"/>
  <c r="E461" i="7"/>
  <c r="G30" i="10"/>
  <c r="F448" i="1"/>
  <c r="F409" i="7"/>
  <c r="F474" i="1"/>
  <c r="J27" i="10"/>
  <c r="K28" i="10" s="1"/>
  <c r="J31" i="10"/>
  <c r="C32" i="10"/>
  <c r="E32" i="10"/>
  <c r="M24" i="10"/>
  <c r="F461" i="7"/>
  <c r="K23" i="10"/>
  <c r="C31" i="10"/>
  <c r="J29" i="10"/>
  <c r="K29" i="10" s="1"/>
  <c r="C29" i="10"/>
  <c r="F461" i="1"/>
  <c r="D30" i="10"/>
  <c r="E461" i="1"/>
  <c r="K25" i="10"/>
  <c r="E474" i="1"/>
  <c r="D31" i="10"/>
  <c r="K24" i="10"/>
  <c r="E435" i="1"/>
  <c r="D28" i="10"/>
  <c r="E422" i="7"/>
  <c r="H27" i="10"/>
  <c r="E474" i="7"/>
  <c r="H31" i="10"/>
  <c r="I31" i="10" s="1"/>
  <c r="E409" i="1"/>
  <c r="D26" i="10"/>
  <c r="H29" i="10"/>
  <c r="I29" i="10" s="1"/>
  <c r="E448" i="7"/>
  <c r="E435" i="7"/>
  <c r="H28" i="10"/>
  <c r="I28" i="10" s="1"/>
  <c r="F422" i="1"/>
  <c r="H25" i="10"/>
  <c r="E396" i="7"/>
  <c r="D29" i="10"/>
  <c r="E448" i="1"/>
  <c r="H26" i="10"/>
  <c r="I26" i="10" s="1"/>
  <c r="E409" i="7"/>
  <c r="D27" i="10"/>
  <c r="E27" i="10" s="1"/>
  <c r="E422" i="1"/>
  <c r="F474" i="7"/>
  <c r="K26" i="10"/>
  <c r="J30" i="10"/>
  <c r="C30" i="10"/>
  <c r="K27" i="10" l="1"/>
  <c r="K32" i="10"/>
  <c r="M32" i="10"/>
  <c r="E23" i="11"/>
  <c r="C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J38" i="10" l="1"/>
  <c r="K38" i="10" s="1"/>
  <c r="G3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<sst xmlns="http://schemas.openxmlformats.org/spreadsheetml/2006/main" count="1832" uniqueCount="135">
  <si>
    <t>ABECIP - INTELIGÊNCIA DE MERCADO</t>
  </si>
  <si>
    <t>POUPANÇA MENSAL - SBPE</t>
  </si>
  <si>
    <t>R$ Milhões</t>
  </si>
  <si>
    <t>SBPE</t>
  </si>
  <si>
    <t>Período</t>
  </si>
  <si>
    <t>Depósito</t>
  </si>
  <si>
    <t>Retirada</t>
  </si>
  <si>
    <t>Captação líquida</t>
  </si>
  <si>
    <t>Rendimento</t>
  </si>
  <si>
    <t>Saldo</t>
  </si>
  <si>
    <t>Valor</t>
  </si>
  <si>
    <t>%</t>
  </si>
  <si>
    <t>Fonte: Abecip e Banco Central.</t>
  </si>
  <si>
    <t>PRIMEIRO MÊS</t>
  </si>
  <si>
    <t>Total</t>
  </si>
  <si>
    <t>ÚLTIMO MÊS</t>
  </si>
  <si>
    <t>(*)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</si>
  <si>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</si>
  <si>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</si>
  <si>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</si>
  <si>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</si>
  <si>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</si>
  <si>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</si>
  <si>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</si>
  <si>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</si>
  <si>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</si>
  <si>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</si>
  <si>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</si>
  <si>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Total.1981</t>
  </si>
  <si>
    <t>Cr$</t>
  </si>
  <si>
    <t>Cruzeiro</t>
  </si>
  <si>
    <t>Milhões</t>
  </si>
  <si>
    <t>Total.1982</t>
  </si>
  <si>
    <t>Total.1983</t>
  </si>
  <si>
    <t>Total.1984</t>
  </si>
  <si>
    <t>Total.1985</t>
  </si>
  <si>
    <t>CZ$</t>
  </si>
  <si>
    <t>Cruzado</t>
  </si>
  <si>
    <t>Total.1986</t>
  </si>
  <si>
    <t>Total.1987</t>
  </si>
  <si>
    <t>Total.1988</t>
  </si>
  <si>
    <t>NCz$</t>
  </si>
  <si>
    <t>Cruzado Novo</t>
  </si>
  <si>
    <t>Total.1989</t>
  </si>
  <si>
    <t>Total.1990</t>
  </si>
  <si>
    <t>Total.1991</t>
  </si>
  <si>
    <t>Total.1992</t>
  </si>
  <si>
    <t>CR$</t>
  </si>
  <si>
    <t>Cruzeiro Real</t>
  </si>
  <si>
    <t>Total.1993</t>
  </si>
  <si>
    <t>R$</t>
  </si>
  <si>
    <t>Real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</si>
  <si>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</si>
  <si>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</si>
  <si>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</si>
  <si>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</si>
  <si>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</si>
  <si>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</si>
  <si>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</si>
  <si>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</si>
  <si>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</si>
  <si>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</si>
  <si>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</si>
  <si>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</si>
  <si>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</si>
  <si>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Total.2007</t>
  </si>
  <si>
    <t>Total.2008</t>
  </si>
  <si>
    <t>Total.2009</t>
  </si>
  <si>
    <t>Total.2010</t>
  </si>
  <si>
    <t>Total.2011</t>
  </si>
  <si>
    <t>Total.2012</t>
  </si>
  <si>
    <t>Total.2013</t>
  </si>
  <si>
    <t>Total.2014</t>
  </si>
  <si>
    <t>Total.2015</t>
  </si>
  <si>
    <t>Total.2016</t>
  </si>
  <si>
    <t>Total.2017</t>
  </si>
  <si>
    <t>Total.2018</t>
  </si>
  <si>
    <t>Total.2019</t>
  </si>
  <si>
    <t>Total.2020</t>
  </si>
  <si>
    <t>Total.2021</t>
  </si>
  <si>
    <t>Total.2022</t>
  </si>
  <si>
    <t>Total.2023</t>
  </si>
  <si>
    <t>POUPANÇA MENSAL - RURAL</t>
  </si>
  <si>
    <t>Fonte: Abecip e Banco Central</t>
  </si>
  <si>
    <t xml:space="preserve">     Até fev/86, valores em milhões Cruzeiros (CR$)</t>
  </si>
  <si>
    <t>Até jul/93, valores em milhões Cruzeiros (CR$)</t>
  </si>
  <si>
    <t xml:space="preserve">     Até jan/89, valores em milhões Cruzados (CZ$)</t>
  </si>
  <si>
    <t>Até jun/94, valores em milhões Cruzeiros Reais (CR$)</t>
  </si>
  <si>
    <t xml:space="preserve">     Até mar/90, valores em milhões Cruzados Novos (NCZ$)</t>
  </si>
  <si>
    <t xml:space="preserve">A partir de jul/94, valores em milhões de Reais (R$) </t>
  </si>
  <si>
    <t>SISTEMA BRASILEIRO DE POUPANÇA E EMPRÉSTIMO</t>
  </si>
  <si>
    <t>POUPANÇA SBPE, RURAL E TOTAL - EVOLUÇÃO DO SALDO E CAPTAÇÃO LÍQUIDA</t>
  </si>
  <si>
    <t>RURAL</t>
  </si>
  <si>
    <t>SBPE+RURAL</t>
  </si>
  <si>
    <t>Anos</t>
  </si>
  <si>
    <t>Captação Líquida</t>
  </si>
  <si>
    <t>% Var.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</si>
  <si>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</si>
  <si>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</si>
  <si>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</si>
  <si>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</si>
  <si>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</si>
  <si>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</si>
  <si>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</si>
  <si>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</si>
  <si>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</si>
  <si>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</si>
  <si>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</si>
  <si>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</si>
  <si>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</si>
  <si>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</si>
  <si>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</si>
  <si>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</si>
  <si>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</si>
  <si>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</si>
  <si>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</si>
  <si>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</si>
  <si>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</si>
  <si>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</si>
  <si>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</si>
  <si>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</si>
  <si>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</si>
  <si>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</si>
  <si>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</si>
  <si>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</si>
  <si>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</si>
  <si>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2023*</t>
  </si>
  <si>
    <t>Fontes: Abecip e Banco Central.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</si>
  <si>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</si>
  <si>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</si>
  <si>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</si>
  <si>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</si>
  <si>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</si>
  <si>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</si>
  <si>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Obs: 2023* valores até agosto.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</si>
</sst>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172" fontId="7" fillId="0" borderId="0" xfId="0" applyNumberFormat="1" applyFont="1"/>
    <xf numFmtId="10" fontId="7" fillId="0" borderId="0" xfId="3" applyNumberFormat="1" applyFont="1" applyAlignment="1">
      <alignment horizontal="center"/>
    </xf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2023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742330.20200000005</c:v>
                </c:pt>
                <c:pt idx="1">
                  <c:v>739139.47100000002</c:v>
                </c:pt>
                <c:pt idx="2">
                  <c:v>737677.10199999996</c:v>
                </c:pt>
                <c:pt idx="3">
                  <c:v>737381.94200000004</c:v>
                </c:pt>
                <c:pt idx="4">
                  <c:v>731277.89</c:v>
                </c:pt>
                <c:pt idx="5">
                  <c:v>738470.12300000002</c:v>
                </c:pt>
                <c:pt idx="6">
                  <c:v>739459.30799999996</c:v>
                </c:pt>
                <c:pt idx="7">
                  <c:v>735745.73899999994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2023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-27216.821999999986</c:v>
                </c:pt>
                <c:pt idx="1">
                  <c:v>-35793.695999999996</c:v>
                </c:pt>
                <c:pt idx="2">
                  <c:v>-41458.524000000034</c:v>
                </c:pt>
                <c:pt idx="3">
                  <c:v>-46533.964000000036</c:v>
                </c:pt>
                <c:pt idx="4">
                  <c:v>-56977.728000000003</c:v>
                </c:pt>
                <c:pt idx="5">
                  <c:v>-54556.750999999989</c:v>
                </c:pt>
                <c:pt idx="6">
                  <c:v>-58259.116999999969</c:v>
                </c:pt>
                <c:pt idx="7">
                  <c:v>-66728.672999999952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Total_Anual!$B$14:$B$38</c:f>
              <c:numCache>
                <c:formatCode>#,##0</c:formatCode>
                <c:ptCount val="5"/>
                <c:pt idx="0">
                  <c:v>657531.44200000004</c:v>
                </c:pt>
                <c:pt idx="1">
                  <c:v>801437.98499999999</c:v>
                </c:pt>
                <c:pt idx="2">
                  <c:v>790109.01300000004</c:v>
                </c:pt>
                <c:pt idx="3">
                  <c:v>763815.06599999999</c:v>
                </c:pt>
                <c:pt idx="4">
                  <c:v>735745.73899999994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Total_Anual!$F$14:$F$38</c:f>
              <c:numCache>
                <c:formatCode>#,##0</c:formatCode>
                <c:ptCount val="5"/>
                <c:pt idx="0">
                  <c:v>187933.103</c:v>
                </c:pt>
                <c:pt idx="1">
                  <c:v>234189.821</c:v>
                </c:pt>
                <c:pt idx="2">
                  <c:v>240493.997</c:v>
                </c:pt>
                <c:pt idx="3">
                  <c:v>235128.245</c:v>
                </c:pt>
                <c:pt idx="4">
                  <c:v>233380.318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Total_Anual!$J$14:$J$38</c:f>
              <c:numCache>
                <c:formatCode>#,##0</c:formatCode>
                <c:ptCount val="5"/>
                <c:pt idx="0">
                  <c:v>845464.54500000004</c:v>
                </c:pt>
                <c:pt idx="1">
                  <c:v>1035627.806</c:v>
                </c:pt>
                <c:pt idx="2">
                  <c:v>1030603.01</c:v>
                </c:pt>
                <c:pt idx="3">
                  <c:v>998943.31099999999</c:v>
                </c:pt>
                <c:pt idx="4">
                  <c:v>969126.05699999991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949737297200507"/>
          <c:y val="0.91808723651811575"/>
          <c:w val="0.4937644015323937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4817382363287068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Total_Anual!$D$14:$D$38</c:f>
              <c:numCache>
                <c:formatCode>#,##0_);[Red]\(#,##0\)</c:formatCode>
                <c:ptCount val="5"/>
                <c:pt idx="0">
                  <c:v>12389.57500000007</c:v>
                </c:pt>
                <c:pt idx="1">
                  <c:v>125352.73900000006</c:v>
                </c:pt>
                <c:pt idx="2">
                  <c:v>-34755.496999999887</c:v>
                </c:pt>
                <c:pt idx="3">
                  <c:v>-80944.485000000015</c:v>
                </c:pt>
                <c:pt idx="4">
                  <c:v>-66728.672999999952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Total_Anual!$H$14:$H$38</c:f>
              <c:numCache>
                <c:formatCode>#,##0_);[Red]\(#,##0\)</c:formatCode>
                <c:ptCount val="5"/>
                <c:pt idx="0">
                  <c:v>937.49699999999939</c:v>
                </c:pt>
                <c:pt idx="1">
                  <c:v>40957.163000000008</c:v>
                </c:pt>
                <c:pt idx="2">
                  <c:v>-741.41299999999319</c:v>
                </c:pt>
                <c:pt idx="3">
                  <c:v>-22292.690999999992</c:v>
                </c:pt>
                <c:pt idx="4">
                  <c:v>-13564.462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Total_Anual!$L$14:$L$38</c:f>
              <c:numCache>
                <c:formatCode>#,##0_);[Red]\(#,##0\)</c:formatCode>
                <c:ptCount val="5"/>
                <c:pt idx="0">
                  <c:v>13327.072000000069</c:v>
                </c:pt>
                <c:pt idx="1">
                  <c:v>166309.90200000006</c:v>
                </c:pt>
                <c:pt idx="2">
                  <c:v>-35496.90999999988</c:v>
                </c:pt>
                <c:pt idx="3">
                  <c:v>-103237.17600000001</c:v>
                </c:pt>
                <c:pt idx="4">
                  <c:v>-80293.134999999951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9488899522918754"/>
          <c:y val="0.91808723651811575"/>
          <c:w val="0.48515286417927039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79" noThreeD="1" sel="29" val="2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24</xdr:row>
      <xdr:rowOff>152400</xdr:rowOff>
    </xdr:from>
    <xdr:to>
      <xdr:col>7</xdr:col>
      <xdr:colOff>651373</xdr:colOff>
      <xdr:row>47</xdr:row>
      <xdr:rowOff>19050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660898</xdr:colOff>
      <xdr:row>24</xdr:row>
      <xdr:rowOff>152400</xdr:rowOff>
    </xdr:from>
    <xdr:to>
      <xdr:col>15</xdr:col>
      <xdr:colOff>505696</xdr:colOff>
      <xdr:row>47</xdr:row>
      <xdr:rowOff>19050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534271</xdr:colOff>
      <xdr:row>5</xdr:row>
      <xdr:rowOff>38100</xdr:rowOff>
    </xdr:from>
    <xdr:to>
      <xdr:col>12</xdr:col>
      <xdr:colOff>567329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617347</xdr:colOff>
      <xdr:row>4</xdr:row>
      <xdr:rowOff>142879</xdr:rowOff>
    </xdr:from>
    <xdr:to>
      <xdr:col>11</xdr:col>
      <xdr:colOff>500139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41</xdr:row>
      <xdr:rowOff>38100</xdr:rowOff>
    </xdr:from>
    <xdr:to>
      <xdr:col>6</xdr:col>
      <xdr:colOff>504825</xdr:colOff>
      <xdr:row>60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41</xdr:row>
      <xdr:rowOff>38100</xdr:rowOff>
    </xdr:from>
    <xdr:to>
      <xdr:col>12</xdr:col>
      <xdr:colOff>781050</xdr:colOff>
      <xdr:row>60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="90" zoomScaleNormal="90" workbookViewId="0">
      <selection activeCell="Q20" sqref="Q20"/>
    </sheetView>
  </sheetViews>
  <sheetFormatPr defaultColWidth="9.140625" defaultRowHeight="12.75" x14ac:dyDescent="0.2"/>
  <cols>
    <col min="1" max="1" width="0.8554687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0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1</v>
      </c>
      <c r="D3" s="105"/>
      <c r="E3" s="105"/>
      <c r="F3" s="105"/>
      <c r="G3" s="105"/>
      <c r="H3" s="105"/>
      <c r="I3" s="65"/>
      <c r="P3" s="65">
        <v>29</v>
      </c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2023</v>
      </c>
      <c r="G4" s="65"/>
      <c r="I4" s="65"/>
      <c r="P4" s="65">
        <f>P3+1994</f>
        <v>2023</v>
      </c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2</v>
      </c>
      <c r="I5" s="65"/>
      <c r="P5" s="65" t="str">
        <f>CONCATENATE("SBPE - Saldo de Poupança em ",P4," (R$ Milhões)")</f>
        <v>SBPE - Saldo de Poupança em 2023 (R$ Milhões)</v>
      </c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4" t="s">
        <v>3</v>
      </c>
      <c r="C6" s="154"/>
      <c r="D6" s="154"/>
      <c r="E6" s="154"/>
      <c r="F6" s="154"/>
      <c r="G6" s="154"/>
      <c r="H6" s="154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2023 (R$ Milhões) </v>
      </c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5" t="s">
        <v>4</v>
      </c>
      <c r="C8" s="156" t="s">
        <v>5</v>
      </c>
      <c r="D8" s="156" t="s">
        <v>6</v>
      </c>
      <c r="E8" s="157" t="s">
        <v>7</v>
      </c>
      <c r="F8" s="158"/>
      <c r="G8" s="156" t="s">
        <v>8</v>
      </c>
      <c r="H8" s="156" t="s">
        <v>9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5"/>
      <c r="C9" s="156"/>
      <c r="D9" s="156"/>
      <c r="E9" s="69" t="s">
        <v>10</v>
      </c>
      <c r="F9" s="69" t="s">
        <v>11</v>
      </c>
      <c r="G9" s="156"/>
      <c r="H9" s="156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Jan-23</v>
      </c>
      <c r="C11" s="109">
        <f>IF($G51&lt;$J$52,"",IF($G51&gt;$J$54,"",VLOOKUP($G51,SBPE_Mensal!$A$20:$G$565,2)))</f>
        <v>260968.72200000001</v>
      </c>
      <c r="D11" s="110">
        <f>IF(G51&lt;$J$52,"",IF(G51&gt;$J$54,"",VLOOKUP(G51,SBPE_Mensal!$A$20:$G$565,3)))</f>
        <v>288185.54399999999</v>
      </c>
      <c r="E11" s="109">
        <f>IF(G51&lt;$J$52,"",IF(G51&gt;$J$54,"",VLOOKUP(G51,SBPE_Mensal!$A$20:$G$565,4)))</f>
        <v>-27216.821999999986</v>
      </c>
      <c r="F11" s="111">
        <f>IF(G51&lt;$J$52,"",IF(G51&gt;$J$54,"",VLOOKUP(G51,SBPE_Mensal!$A$20:$G$565,5)))</f>
        <v>-3.5632737833427317</v>
      </c>
      <c r="G11" s="110">
        <f>IF(G51&lt;$J$52,"",IF(G51&gt;$J$54,"",VLOOKUP(G51,SBPE_Mensal!$A$20:$G$565,6)))</f>
        <v>5731.9440000000004</v>
      </c>
      <c r="H11" s="109">
        <f>IF(G51&lt;$J$52,"",IF(G51&gt;$J$54,"",VLOOKUP(G51,SBPE_Mensal!$A$20:$G$565,7)))</f>
        <v>742330.20200000005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Fev-23</v>
      </c>
      <c r="C12" s="109">
        <f>IF($G52&lt;$J$52,"",IF($G52&gt;$J$54,"",VLOOKUP($G52,SBPE_Mensal!$A$20:$G$565,2)))</f>
        <v>243781.42499999999</v>
      </c>
      <c r="D12" s="110">
        <f>IF(G52&lt;$J$52,"",IF(G52&gt;$J$54,"",VLOOKUP(G52,SBPE_Mensal!$A$20:$G$565,3)))</f>
        <v>252358.299</v>
      </c>
      <c r="E12" s="109">
        <f>IF(G52&lt;$J$52,"",IF(G52&gt;$J$54,"",VLOOKUP(G52,SBPE_Mensal!$A$20:$G$565,4)))</f>
        <v>-8576.8740000000107</v>
      </c>
      <c r="F12" s="111">
        <f>IF(G52&lt;$J$52,"",IF(G52&gt;$J$54,"",VLOOKUP(G52,SBPE_Mensal!$A$20:$G$565,5)))</f>
        <v>-1.1553987668684413</v>
      </c>
      <c r="G12" s="110">
        <f>IF(G52&lt;$J$52,"",IF(G52&gt;$J$54,"",VLOOKUP(G52,SBPE_Mensal!$A$20:$G$565,6)))</f>
        <v>5386.1329999999998</v>
      </c>
      <c r="H12" s="109">
        <f>IF(G52&lt;$J$52,"",IF(G52&gt;$J$54,"",VLOOKUP(G52,SBPE_Mensal!$A$20:$G$565,7)))</f>
        <v>739139.47100000002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Mar-23</v>
      </c>
      <c r="C13" s="109">
        <f>IF($G53&lt;$J$52,"",IF($G53&gt;$J$54,"",VLOOKUP($G53,SBPE_Mensal!$A$20:$G$565,2)))</f>
        <v>283185.82699999999</v>
      </c>
      <c r="D13" s="110">
        <f>IF(G53&lt;$J$52,"",IF(G53&gt;$J$54,"",VLOOKUP(G53,SBPE_Mensal!$A$20:$G$565,3)))</f>
        <v>288850.65500000003</v>
      </c>
      <c r="E13" s="109">
        <f>IF(G53&lt;$J$52,"",IF(G53&gt;$J$54,"",VLOOKUP(G53,SBPE_Mensal!$A$20:$G$565,4)))</f>
        <v>-5664.8280000000377</v>
      </c>
      <c r="F13" s="111">
        <f>IF(G53&lt;$J$52,"",IF(G53&gt;$J$54,"",VLOOKUP(G53,SBPE_Mensal!$A$20:$G$565,5)))</f>
        <v>-0.76640853617734039</v>
      </c>
      <c r="G13" s="110">
        <f>IF(G53&lt;$J$52,"",IF(G53&gt;$J$54,"",VLOOKUP(G53,SBPE_Mensal!$A$20:$G$565,6)))</f>
        <v>4202.4480000000003</v>
      </c>
      <c r="H13" s="109">
        <f>IF(G53&lt;$J$52,"",IF(G53&gt;$J$54,"",VLOOKUP(G53,SBPE_Mensal!$A$20:$G$565,7)))</f>
        <v>737677.10199999996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Abr-23</v>
      </c>
      <c r="C14" s="109">
        <f>IF($G54&lt;$J$52,"",IF($G54&gt;$J$54,"",VLOOKUP($G54,SBPE_Mensal!$A$20:$G$565,2)))</f>
        <v>250617.666</v>
      </c>
      <c r="D14" s="110">
        <f>IF(G54&lt;$J$52,"",IF(G54&gt;$J$54,"",VLOOKUP(G54,SBPE_Mensal!$A$20:$G$565,3)))</f>
        <v>255693.106</v>
      </c>
      <c r="E14" s="109">
        <f>IF(G54&lt;$J$52,"",IF(G54&gt;$J$54,"",VLOOKUP(G54,SBPE_Mensal!$A$20:$G$565,4)))</f>
        <v>-5075.4400000000023</v>
      </c>
      <c r="F14" s="111">
        <f>IF(G54&lt;$J$52,"",IF(G54&gt;$J$54,"",VLOOKUP(G54,SBPE_Mensal!$A$20:$G$565,5)))</f>
        <v>-0.68803003187158751</v>
      </c>
      <c r="G14" s="110">
        <f>IF(G54&lt;$J$52,"",IF(G54&gt;$J$54,"",VLOOKUP(G54,SBPE_Mensal!$A$20:$G$565,6)))</f>
        <v>4780.2719999999999</v>
      </c>
      <c r="H14" s="109">
        <f>IF(G54&lt;$J$52,"",IF(G54&gt;$J$54,"",VLOOKUP(G54,SBPE_Mensal!$A$20:$G$565,7)))</f>
        <v>737381.94200000004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Mai-23</v>
      </c>
      <c r="C15" s="109">
        <f>IF($G55&lt;$J$52,"",IF($G55&gt;$J$54,"",VLOOKUP($G55,SBPE_Mensal!$A$20:$G$565,2)))</f>
        <v>285084.44300000003</v>
      </c>
      <c r="D15" s="110">
        <f>IF(G55&lt;$J$52,"",IF(G55&gt;$J$54,"",VLOOKUP(G55,SBPE_Mensal!$A$20:$G$565,3)))</f>
        <v>295528.20699999999</v>
      </c>
      <c r="E15" s="109">
        <f>IF(G55&lt;$J$52,"",IF(G55&gt;$J$54,"",VLOOKUP(G55,SBPE_Mensal!$A$20:$G$565,4)))</f>
        <v>-10443.763999999966</v>
      </c>
      <c r="F15" s="111">
        <f>IF(G55&lt;$J$52,"",IF(G55&gt;$J$54,"",VLOOKUP(G55,SBPE_Mensal!$A$20:$G$565,5)))</f>
        <v>-1.4163303174571051</v>
      </c>
      <c r="G15" s="110">
        <f>IF(G55&lt;$J$52,"",IF(G55&gt;$J$54,"",VLOOKUP(G55,SBPE_Mensal!$A$20:$G$565,6)))</f>
        <v>4339.701</v>
      </c>
      <c r="H15" s="109">
        <f>IF(G55&lt;$J$52,"",IF(G55&gt;$J$54,"",VLOOKUP(G55,SBPE_Mensal!$A$20:$G$565,7)))</f>
        <v>731277.89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Jun-23</v>
      </c>
      <c r="C16" s="109">
        <f>IF($G56&lt;$J$52,"",IF($G56&gt;$J$54,"",VLOOKUP($G56,SBPE_Mensal!$A$20:$G$565,2)))</f>
        <v>287540.45500000002</v>
      </c>
      <c r="D16" s="110">
        <f>IF(G56&lt;$J$52,"",IF(G56&gt;$J$54,"",VLOOKUP(G56,SBPE_Mensal!$A$20:$G$565,3)))</f>
        <v>285119.478</v>
      </c>
      <c r="E16" s="109">
        <f>IF(G56&lt;$J$52,"",IF(G56&gt;$J$54,"",VLOOKUP(G56,SBPE_Mensal!$A$20:$G$565,4)))</f>
        <v>2420.9770000000135</v>
      </c>
      <c r="F16" s="111">
        <f>IF(G56&lt;$J$52,"",IF(G56&gt;$J$54,"",VLOOKUP(G56,SBPE_Mensal!$A$20:$G$565,5)))</f>
        <v>0.33106115104888695</v>
      </c>
      <c r="G16" s="110">
        <f>IF(G56&lt;$J$52,"",IF(G56&gt;$J$54,"",VLOOKUP(G56,SBPE_Mensal!$A$20:$G$565,6)))</f>
        <v>4771.2460000000001</v>
      </c>
      <c r="H16" s="109">
        <f>IF(G56&lt;$J$52,"",IF(G56&gt;$J$54,"",VLOOKUP(G56,SBPE_Mensal!$A$20:$G$565,7)))</f>
        <v>738470.12300000002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Jul-23</v>
      </c>
      <c r="C17" s="109">
        <f>IF($G57&lt;$J$52,"",IF($G57&gt;$J$54,"",VLOOKUP($G57,SBPE_Mensal!$A$20:$G$565,2)))</f>
        <v>281001.48300000001</v>
      </c>
      <c r="D17" s="110">
        <f>IF(G57&lt;$J$52,"",IF(G57&gt;$J$54,"",VLOOKUP(G57,SBPE_Mensal!$A$20:$G$565,3)))</f>
        <v>284703.84899999999</v>
      </c>
      <c r="E17" s="109">
        <f>IF(G57&lt;$J$52,"",IF(G57&gt;$J$54,"",VLOOKUP(G57,SBPE_Mensal!$A$20:$G$565,4)))</f>
        <v>-3702.36599999998</v>
      </c>
      <c r="F17" s="111">
        <f>IF(G57&lt;$J$52,"",IF(G57&gt;$J$54,"",VLOOKUP(G57,SBPE_Mensal!$A$20:$G$565,5)))</f>
        <v>-0.50135623428599829</v>
      </c>
      <c r="G17" s="110">
        <f>IF(G57&lt;$J$52,"",IF(G57&gt;$J$54,"",VLOOKUP(G57,SBPE_Mensal!$A$20:$G$565,6)))</f>
        <v>4691.5450000000001</v>
      </c>
      <c r="H17" s="109">
        <f>IF(G57&lt;$J$52,"",IF(G57&gt;$J$54,"",VLOOKUP(G57,SBPE_Mensal!$A$20:$G$565,7)))</f>
        <v>739459.30799999996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Ago-23</v>
      </c>
      <c r="C18" s="109">
        <f>IF($G58&lt;$J$52,"",IF($G58&gt;$J$54,"",VLOOKUP($G58,SBPE_Mensal!$A$20:$G$565,2)))</f>
        <v>277197.80300000001</v>
      </c>
      <c r="D18" s="110">
        <f>IF(G58&lt;$J$52,"",IF(G58&gt;$J$54,"",VLOOKUP(G58,SBPE_Mensal!$A$20:$G$565,3)))</f>
        <v>285667.359</v>
      </c>
      <c r="E18" s="109">
        <f>IF(G58&lt;$J$52,"",IF(G58&gt;$J$54,"",VLOOKUP(G58,SBPE_Mensal!$A$20:$G$565,4)))</f>
        <v>-8469.5559999999823</v>
      </c>
      <c r="F18" s="111">
        <f>IF(G58&lt;$J$52,"",IF(G58&gt;$J$54,"",VLOOKUP(G58,SBPE_Mensal!$A$20:$G$565,5)))</f>
        <v>-1.1453714772902666</v>
      </c>
      <c r="G18" s="110">
        <f>IF(G58&lt;$J$52,"",IF(G58&gt;$J$54,"",VLOOKUP(G58,SBPE_Mensal!$A$20:$G$565,6)))</f>
        <v>4755.9750000000004</v>
      </c>
      <c r="H18" s="109">
        <f>IF(G58&lt;$J$52,"",IF(G58&gt;$J$54,"",VLOOKUP(G58,SBPE_Mensal!$A$20:$G$565,7)))</f>
        <v>735745.73899999994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Set-23</v>
      </c>
      <c r="C19" s="109">
        <f>IF($G59&lt;$J$52,"",IF($G59&gt;$J$54,"",VLOOKUP($G59,SBPE_Mensal!$A$20:$G$565,2)))</f>
        <v>0</v>
      </c>
      <c r="D19" s="110">
        <f>IF(G59&lt;$J$52,"",IF(G59&gt;$J$54,"",VLOOKUP(G59,SBPE_Mensal!$A$20:$G$565,3)))</f>
        <v>0</v>
      </c>
      <c r="E19" s="109">
        <f>IF(G59&lt;$J$52,"",IF(G59&gt;$J$54,"",VLOOKUP(G59,SBPE_Mensal!$A$20:$G$565,4)))</f>
        <v>0</v>
      </c>
      <c r="F19" s="111" t="str">
        <f>IF(G59&lt;$J$52,"",IF(G59&gt;$J$54,"",VLOOKUP(G59,SBPE_Mensal!$A$20:$G$565,5)))</f>
        <v/>
      </c>
      <c r="G19" s="110">
        <f>IF(G59&lt;$J$52,"",IF(G59&gt;$J$54,"",VLOOKUP(G59,SBPE_Mensal!$A$20:$G$565,6)))</f>
        <v>0</v>
      </c>
      <c r="H19" s="109">
        <f>IF(G59&lt;$J$52,"",IF(G59&gt;$J$54,"",VLOOKUP(G59,SBPE_Mensal!$A$20:$G$565,7)))</f>
        <v>0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Out-23</v>
      </c>
      <c r="C20" s="109">
        <f>IF($G60&lt;$J$52,"",IF($G60&gt;$J$54,"",VLOOKUP($G60,SBPE_Mensal!$A$20:$G$565,2)))</f>
        <v>0</v>
      </c>
      <c r="D20" s="110">
        <f>IF(G60&lt;$J$52,"",IF(G60&gt;$J$54,"",VLOOKUP(G60,SBPE_Mensal!$A$20:$G$565,3)))</f>
        <v>0</v>
      </c>
      <c r="E20" s="109">
        <f>IF(G60&lt;$J$52,"",IF(G60&gt;$J$54,"",VLOOKUP(G60,SBPE_Mensal!$A$20:$G$565,4)))</f>
        <v>0</v>
      </c>
      <c r="F20" s="111" t="str">
        <f>IF(G60&lt;$J$52,"",IF(G60&gt;$J$54,"",VLOOKUP(G60,SBPE_Mensal!$A$20:$G$565,5)))</f>
        <v/>
      </c>
      <c r="G20" s="110">
        <f>IF(G60&lt;$J$52,"",IF(G60&gt;$J$54,"",VLOOKUP(G60,SBPE_Mensal!$A$20:$G$565,6)))</f>
        <v>0</v>
      </c>
      <c r="H20" s="109">
        <f>IF(G60&lt;$J$52,"",IF(G60&gt;$J$54,"",VLOOKUP(G60,SBPE_Mensal!$A$20:$G$565,7)))</f>
        <v>0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Nov-23</v>
      </c>
      <c r="C21" s="109">
        <f>IF($G61&lt;$J$52,"",IF($G61&gt;$J$54,"",VLOOKUP($G61,SBPE_Mensal!$A$20:$G$565,2)))</f>
        <v>0</v>
      </c>
      <c r="D21" s="110">
        <f>IF(G61&lt;$J$52,"",IF(G61&gt;$J$54,"",VLOOKUP(G61,SBPE_Mensal!$A$20:$G$565,3)))</f>
        <v>0</v>
      </c>
      <c r="E21" s="109">
        <f>IF(G61&lt;$J$52,"",IF(G61&gt;$J$54,"",VLOOKUP(G61,SBPE_Mensal!$A$20:$G$565,4)))</f>
        <v>0</v>
      </c>
      <c r="F21" s="111" t="str">
        <f>IF(G61&lt;$J$52,"",IF(G61&gt;$J$54,"",VLOOKUP(G61,SBPE_Mensal!$A$20:$G$565,5)))</f>
        <v/>
      </c>
      <c r="G21" s="110">
        <f>IF(G61&lt;$J$52,"",IF(G61&gt;$J$54,"",VLOOKUP(G61,SBPE_Mensal!$A$20:$G$565,6)))</f>
        <v>0</v>
      </c>
      <c r="H21" s="109">
        <f>IF(G61&lt;$J$52,"",IF(G61&gt;$J$54,"",VLOOKUP(G61,SBPE_Mensal!$A$20:$G$565,7)))</f>
        <v>0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Dez-23</v>
      </c>
      <c r="C22" s="109">
        <f>IF($G62&lt;$J$52,"",IF($G62&gt;$J$54,"",VLOOKUP($G62,SBPE_Mensal!$A$20:$G$565,2)))</f>
        <v>0</v>
      </c>
      <c r="D22" s="110">
        <f>IF(G62&lt;$J$52,"",IF(G62&gt;$J$54,"",VLOOKUP(G62,SBPE_Mensal!$A$20:$G$565,3)))</f>
        <v>0</v>
      </c>
      <c r="E22" s="109">
        <f>IF(G62&lt;$J$52,"",IF(G62&gt;$J$54,"",VLOOKUP(G62,SBPE_Mensal!$A$20:$G$565,4)))</f>
        <v>0</v>
      </c>
      <c r="F22" s="111" t="str">
        <f>IF(G62&lt;$J$52,"",IF(G62&gt;$J$54,"",VLOOKUP(G62,SBPE_Mensal!$A$20:$G$565,5)))</f>
        <v/>
      </c>
      <c r="G22" s="110">
        <f>IF(G62&lt;$J$52,"",IF(G62&gt;$J$54,"",VLOOKUP(G62,SBPE_Mensal!$A$20:$G$565,6)))</f>
        <v>0</v>
      </c>
      <c r="H22" s="109">
        <f>IF(G62&lt;$J$52,"",IF(G62&gt;$J$54,"",VLOOKUP(G62,SBPE_Mensal!$A$20:$G$565,7)))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Total.2023</v>
      </c>
      <c r="C23" s="116">
        <f>SUM(C11:C22)</f>
        <v>2169377.824</v>
      </c>
      <c r="D23" s="116">
        <f>SUM(D11:D22)</f>
        <v>2236106.497</v>
      </c>
      <c r="E23" s="117">
        <f>SUM(E11:E22)</f>
        <v>-66728.672999999952</v>
      </c>
      <c r="F23" s="118">
        <f>_xlfn.XLOOKUP(B23,SBPE_Mensal!$A$8:$A$565,SBPE_Mensal!$E$8:$E$565)</f>
        <v>-8.7362341972971702</v>
      </c>
      <c r="G23" s="116">
        <f>SUM(G11:G22)</f>
        <v>38659.264000000003</v>
      </c>
      <c r="H23" s="116">
        <f>VLOOKUP(B23,SBPE_Mensal!A20:G565,7)</f>
        <v>735745.73899999994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12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-27216.821999999986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>
        <f>IF(E12&lt;&gt;0,M29+E12,"")</f>
        <v>-35793.695999999996</v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>
        <f>IF(E13&lt;&gt;0,M30+E13,"")</f>
        <v>-41458.524000000034</v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>
        <f>IF(E14&lt;&gt;0,M31+E14,"")</f>
        <v>-46533.964000000036</v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>
        <f t="shared" ref="M33:M40" si="0">IF(E15&lt;&gt;0,M32+E15,"")</f>
        <v>-56977.728000000003</v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>
        <f t="shared" si="0"/>
        <v>-54556.750999999989</v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>
        <f t="shared" si="0"/>
        <v>-58259.116999999969</v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>
        <f t="shared" si="0"/>
        <v>-66728.672999999952</v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 t="str">
        <f t="shared" si="0"/>
        <v/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 t="str">
        <f t="shared" si="0"/>
        <v/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 t="str">
        <f t="shared" si="0"/>
        <v/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hidden="1" x14ac:dyDescent="0.2">
      <c r="B49" s="145"/>
      <c r="C49" s="66"/>
      <c r="D49" s="66"/>
      <c r="E49" s="66"/>
      <c r="F49" s="66"/>
      <c r="G49" s="66"/>
      <c r="H49" s="66"/>
    </row>
    <row r="50" spans="2:17" ht="12" hidden="1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1995</v>
      </c>
      <c r="F51" s="138" t="str">
        <f>CONCATENATE("1","/","1","/",$P$4)</f>
        <v>1/1/2023</v>
      </c>
      <c r="G51" s="139">
        <f t="shared" ref="G51:G59" si="1">DATE(RIGHT(F51,4),MID(F51,3,1),LEFT(F51,1))</f>
        <v>44927</v>
      </c>
      <c r="H51" s="140">
        <v>2023</v>
      </c>
      <c r="I51" s="140" t="s">
        <v>13</v>
      </c>
      <c r="J51" s="137"/>
      <c r="K51" s="137">
        <v>1995</v>
      </c>
      <c r="M51" s="141"/>
      <c r="N51" s="64" t="s">
        <v>14</v>
      </c>
      <c r="O51" s="129"/>
      <c r="P51" s="130"/>
      <c r="Q51" s="131"/>
    </row>
    <row r="52" spans="2:17" hidden="1" x14ac:dyDescent="0.2">
      <c r="E52" s="137">
        <v>1996</v>
      </c>
      <c r="F52" s="138" t="str">
        <f>CONCATENATE("1","/","2","/",$P$4)</f>
        <v>1/2/2023</v>
      </c>
      <c r="G52" s="139">
        <f t="shared" si="1"/>
        <v>44958</v>
      </c>
      <c r="H52" s="142" t="str">
        <f>CONCATENATE("1","/","12","/",$H$51)</f>
        <v>1/12/2023</v>
      </c>
      <c r="J52" s="143">
        <f>SBPE_Mensal!A20</f>
        <v>29952</v>
      </c>
      <c r="K52" s="137">
        <v>1996</v>
      </c>
      <c r="M52" s="141"/>
      <c r="O52" s="129"/>
      <c r="P52" s="130"/>
      <c r="Q52" s="132"/>
    </row>
    <row r="53" spans="2:17" hidden="1" x14ac:dyDescent="0.2">
      <c r="E53" s="137">
        <v>1997</v>
      </c>
      <c r="F53" s="138" t="str">
        <f>CONCATENATE("1","/","3","/",$P$4)</f>
        <v>1/3/2023</v>
      </c>
      <c r="G53" s="139">
        <f t="shared" si="1"/>
        <v>44986</v>
      </c>
      <c r="H53" s="143">
        <f>DATE(RIGHT(H52,4),MID(H52,3,2),LEFT(H52,1))</f>
        <v>45261</v>
      </c>
      <c r="I53" s="140" t="s">
        <v>15</v>
      </c>
      <c r="J53" s="137"/>
      <c r="K53" s="137">
        <v>1997</v>
      </c>
      <c r="M53" s="141"/>
      <c r="O53" s="129"/>
      <c r="P53" s="130"/>
      <c r="Q53" s="133"/>
    </row>
    <row r="54" spans="2:17" hidden="1" x14ac:dyDescent="0.2">
      <c r="E54" s="137">
        <v>1998</v>
      </c>
      <c r="F54" s="138" t="str">
        <f>CONCATENATE("1","/","4","/",$P$4)</f>
        <v>1/4/2023</v>
      </c>
      <c r="G54" s="139">
        <f t="shared" si="1"/>
        <v>45017</v>
      </c>
      <c r="H54" s="137"/>
      <c r="J54" s="143">
        <v>45261</v>
      </c>
      <c r="K54" s="137">
        <v>1998</v>
      </c>
      <c r="M54" s="141"/>
      <c r="O54" s="129"/>
      <c r="P54" s="130"/>
    </row>
    <row r="55" spans="2:17" hidden="1" x14ac:dyDescent="0.2">
      <c r="E55" s="137">
        <v>1999</v>
      </c>
      <c r="F55" s="138" t="str">
        <f>CONCATENATE("1","/","5","/",$P$4)</f>
        <v>1/5/2023</v>
      </c>
      <c r="G55" s="139">
        <f t="shared" si="1"/>
        <v>45047</v>
      </c>
      <c r="H55" s="137"/>
      <c r="I55" s="137"/>
      <c r="J55" s="137"/>
      <c r="K55" s="137">
        <v>1999</v>
      </c>
      <c r="M55" s="141"/>
      <c r="O55" s="129"/>
      <c r="P55" s="130"/>
    </row>
    <row r="56" spans="2:17" hidden="1" x14ac:dyDescent="0.2">
      <c r="E56" s="137">
        <v>2000</v>
      </c>
      <c r="F56" s="138" t="str">
        <f>CONCATENATE("1","/","6","/",$P$4)</f>
        <v>1/6/2023</v>
      </c>
      <c r="G56" s="139">
        <f t="shared" si="1"/>
        <v>45078</v>
      </c>
      <c r="H56" s="137"/>
      <c r="I56" s="137"/>
      <c r="J56" s="137"/>
      <c r="K56" s="137">
        <v>2000</v>
      </c>
      <c r="M56" s="141"/>
      <c r="O56" s="129"/>
      <c r="P56" s="130"/>
    </row>
    <row r="57" spans="2:17" hidden="1" x14ac:dyDescent="0.2">
      <c r="E57" s="137">
        <v>2001</v>
      </c>
      <c r="F57" s="138" t="str">
        <f>CONCATENATE("1","/","7","/",$P$4)</f>
        <v>1/7/2023</v>
      </c>
      <c r="G57" s="139">
        <f t="shared" si="1"/>
        <v>45108</v>
      </c>
      <c r="H57" s="137"/>
      <c r="I57" s="137"/>
      <c r="J57" s="137"/>
      <c r="K57" s="137">
        <v>2001</v>
      </c>
      <c r="M57" s="141"/>
      <c r="O57" s="129"/>
      <c r="P57" s="130"/>
    </row>
    <row r="58" spans="2:17" hidden="1" x14ac:dyDescent="0.2">
      <c r="E58" s="137">
        <v>2002</v>
      </c>
      <c r="F58" s="138" t="str">
        <f>CONCATENATE("1","/","8","/",$P$4)</f>
        <v>1/8/2023</v>
      </c>
      <c r="G58" s="139">
        <f t="shared" si="1"/>
        <v>45139</v>
      </c>
      <c r="H58" s="137"/>
      <c r="I58" s="137"/>
      <c r="J58" s="137"/>
      <c r="K58" s="137">
        <v>2002</v>
      </c>
      <c r="M58" s="141"/>
      <c r="O58" s="129"/>
      <c r="P58" s="130"/>
    </row>
    <row r="59" spans="2:17" hidden="1" x14ac:dyDescent="0.2">
      <c r="E59" s="137">
        <v>2003</v>
      </c>
      <c r="F59" s="138" t="str">
        <f>CONCATENATE("1","/","9","/",$P$4)</f>
        <v>1/9/2023</v>
      </c>
      <c r="G59" s="139">
        <f t="shared" si="1"/>
        <v>45170</v>
      </c>
      <c r="H59" s="137"/>
      <c r="I59" s="137"/>
      <c r="J59" s="137"/>
      <c r="K59" s="137">
        <v>2003</v>
      </c>
      <c r="M59" s="141"/>
      <c r="O59" s="129"/>
      <c r="P59" s="130"/>
    </row>
    <row r="60" spans="2:17" hidden="1" x14ac:dyDescent="0.2">
      <c r="E60" s="137">
        <v>2004</v>
      </c>
      <c r="F60" s="138" t="str">
        <f>CONCATENATE("1","/","10","/",$P$4)</f>
        <v>1/10/2023</v>
      </c>
      <c r="G60" s="139">
        <f>DATE(RIGHT(F60,4),MID(F60,3,2),LEFT(F60,1))</f>
        <v>45200</v>
      </c>
      <c r="H60" s="137"/>
      <c r="I60" s="137"/>
      <c r="J60" s="137"/>
      <c r="K60" s="137">
        <v>2004</v>
      </c>
      <c r="M60" s="141"/>
      <c r="O60" s="129"/>
      <c r="P60" s="130"/>
    </row>
    <row r="61" spans="2:17" hidden="1" x14ac:dyDescent="0.2">
      <c r="E61" s="137">
        <v>2005</v>
      </c>
      <c r="F61" s="138" t="str">
        <f>CONCATENATE("1","/","11","/",$P$4)</f>
        <v>1/11/2023</v>
      </c>
      <c r="G61" s="139">
        <f>DATE(RIGHT(F61,4),MID(F61,3,2),LEFT(F61,1))</f>
        <v>45231</v>
      </c>
      <c r="H61" s="137"/>
      <c r="I61" s="137"/>
      <c r="J61" s="137"/>
      <c r="K61" s="137">
        <v>2005</v>
      </c>
      <c r="M61" s="141"/>
      <c r="O61" s="129"/>
      <c r="P61" s="130"/>
    </row>
    <row r="62" spans="2:17" hidden="1" x14ac:dyDescent="0.2">
      <c r="E62" s="137">
        <v>2006</v>
      </c>
      <c r="F62" s="138" t="str">
        <f>CONCATENATE("1","/","12","/",$P$4)</f>
        <v>1/12/2023</v>
      </c>
      <c r="G62" s="139">
        <f>DATE(RIGHT(F62,4),MID(F62,3,2),LEFT(F62,1))</f>
        <v>45261</v>
      </c>
      <c r="H62" s="137"/>
      <c r="I62" s="137"/>
      <c r="J62" s="137"/>
      <c r="K62" s="137">
        <v>2006</v>
      </c>
      <c r="M62" s="141"/>
      <c r="O62" s="129"/>
      <c r="P62" s="130"/>
    </row>
    <row r="63" spans="2:17" hidden="1" x14ac:dyDescent="0.2">
      <c r="E63" s="137">
        <v>2007</v>
      </c>
      <c r="F63" s="137"/>
      <c r="G63" s="137"/>
      <c r="H63" s="137"/>
      <c r="I63" s="137"/>
      <c r="J63" s="137"/>
      <c r="K63" s="137">
        <v>2007</v>
      </c>
    </row>
    <row r="64" spans="2:17" hidden="1" x14ac:dyDescent="0.2">
      <c r="E64" s="137">
        <v>2008</v>
      </c>
      <c r="F64" s="83" t="str">
        <f>CONCATENATE("Total.",$P$4)</f>
        <v>Total.2023</v>
      </c>
      <c r="G64" s="137"/>
      <c r="H64" s="137"/>
      <c r="I64" s="137"/>
      <c r="J64" s="137"/>
      <c r="K64" s="137">
        <v>2008</v>
      </c>
    </row>
    <row r="65" spans="5:11" hidden="1" x14ac:dyDescent="0.2">
      <c r="E65" s="137">
        <v>2009</v>
      </c>
      <c r="F65" s="137"/>
      <c r="G65" s="137"/>
      <c r="H65" s="137"/>
      <c r="I65" s="137"/>
      <c r="J65" s="137"/>
      <c r="K65" s="137">
        <v>2009</v>
      </c>
    </row>
    <row r="66" spans="5:11" hidden="1" x14ac:dyDescent="0.2">
      <c r="E66" s="137">
        <v>2010</v>
      </c>
      <c r="F66" s="137"/>
      <c r="G66" s="137"/>
      <c r="H66" s="137"/>
      <c r="I66" s="137"/>
      <c r="J66" s="137"/>
      <c r="K66" s="137">
        <v>2010</v>
      </c>
    </row>
    <row r="67" spans="5:11" hidden="1" x14ac:dyDescent="0.2">
      <c r="E67" s="137">
        <v>2011</v>
      </c>
      <c r="F67" s="137"/>
      <c r="G67" s="137"/>
      <c r="H67" s="137"/>
      <c r="I67" s="137"/>
      <c r="J67" s="137"/>
      <c r="K67" s="137">
        <v>2011</v>
      </c>
    </row>
    <row r="68" spans="5:11" hidden="1" x14ac:dyDescent="0.2">
      <c r="E68" s="137">
        <v>2012</v>
      </c>
      <c r="F68" s="137"/>
      <c r="G68" s="137"/>
      <c r="H68" s="137"/>
      <c r="I68" s="137"/>
      <c r="J68" s="137"/>
      <c r="K68" s="137">
        <v>2012</v>
      </c>
    </row>
    <row r="69" spans="5:11" hidden="1" x14ac:dyDescent="0.2">
      <c r="E69" s="137">
        <v>2013</v>
      </c>
      <c r="F69" s="137"/>
      <c r="G69" s="137"/>
      <c r="H69" s="137"/>
      <c r="I69" s="137"/>
      <c r="J69" s="137"/>
      <c r="K69" s="137">
        <v>2013</v>
      </c>
    </row>
    <row r="70" spans="5:11" hidden="1" x14ac:dyDescent="0.2">
      <c r="E70" s="137">
        <v>2014</v>
      </c>
      <c r="F70" s="137"/>
      <c r="G70" s="137"/>
      <c r="H70" s="137"/>
      <c r="I70" s="137"/>
      <c r="J70" s="137"/>
      <c r="K70" s="137">
        <v>2014</v>
      </c>
    </row>
    <row r="71" spans="5:11" hidden="1" x14ac:dyDescent="0.2">
      <c r="E71" s="137">
        <v>2015</v>
      </c>
      <c r="F71" s="137"/>
      <c r="G71" s="137"/>
      <c r="H71" s="137"/>
      <c r="I71" s="137"/>
      <c r="J71" s="137"/>
      <c r="K71" s="137">
        <v>2015</v>
      </c>
    </row>
    <row r="72" spans="5:11" hidden="1" x14ac:dyDescent="0.2">
      <c r="E72" s="137">
        <v>2016</v>
      </c>
      <c r="F72" s="137"/>
      <c r="G72" s="137"/>
      <c r="H72" s="137"/>
      <c r="I72" s="137"/>
      <c r="J72" s="137"/>
      <c r="K72" s="137">
        <v>2016</v>
      </c>
    </row>
    <row r="73" spans="5:11" hidden="1" x14ac:dyDescent="0.2">
      <c r="E73" s="137">
        <v>2017</v>
      </c>
      <c r="F73" s="137"/>
      <c r="G73" s="137"/>
      <c r="H73" s="137"/>
      <c r="I73" s="137"/>
      <c r="J73" s="137"/>
      <c r="K73" s="137">
        <v>2017</v>
      </c>
    </row>
    <row r="74" spans="5:11" hidden="1" x14ac:dyDescent="0.2">
      <c r="E74" s="137">
        <v>2018</v>
      </c>
      <c r="F74" s="137"/>
      <c r="G74" s="137"/>
      <c r="H74" s="137"/>
      <c r="I74" s="137"/>
      <c r="J74" s="137"/>
      <c r="K74" s="137">
        <v>2018</v>
      </c>
    </row>
    <row r="75" spans="5:11" hidden="1" x14ac:dyDescent="0.2">
      <c r="E75" s="137">
        <v>2019</v>
      </c>
      <c r="F75" s="137"/>
      <c r="G75" s="137"/>
      <c r="H75" s="137"/>
      <c r="I75" s="137"/>
      <c r="J75" s="137"/>
      <c r="K75" s="137">
        <v>2019</v>
      </c>
    </row>
    <row r="76" spans="5:11" hidden="1" x14ac:dyDescent="0.2">
      <c r="E76" s="137">
        <v>2020</v>
      </c>
      <c r="F76" s="137"/>
      <c r="G76" s="137"/>
      <c r="H76" s="137"/>
      <c r="I76" s="137"/>
      <c r="J76" s="137"/>
      <c r="K76" s="137">
        <v>2020</v>
      </c>
    </row>
    <row r="77" spans="5:11" hidden="1" x14ac:dyDescent="0.2">
      <c r="E77" s="137">
        <v>2021</v>
      </c>
      <c r="F77" s="137"/>
      <c r="G77" s="137"/>
      <c r="H77" s="137"/>
      <c r="I77" s="137"/>
      <c r="J77" s="137"/>
      <c r="K77" s="137">
        <v>2021</v>
      </c>
    </row>
    <row r="78" spans="5:11" hidden="1" x14ac:dyDescent="0.2">
      <c r="E78" s="137">
        <v>2022</v>
      </c>
      <c r="K78" s="137">
        <v>2022</v>
      </c>
    </row>
    <row r="79" spans="5:11" hidden="1" x14ac:dyDescent="0.2">
      <c r="E79" s="137">
        <v>2023</v>
      </c>
      <c r="K79" s="137">
        <v>2023</v>
      </c>
    </row>
    <row r="80" spans="5:11" hidden="1" x14ac:dyDescent="0.2"/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76" orientation="landscape" r:id="rId1"/>
  <ignoredErrors>
    <ignoredError sqref="M41 M29 M30 M32:M40 M31 G57:G62 F52:J53 F63:J63 F57:F62 H57:J62 F55:J56 F54:I54 F51:G51 I51:J5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568"/>
  <sheetViews>
    <sheetView showGridLines="0" zoomScaleNormal="100" workbookViewId="0">
      <pane ySplit="6" topLeftCell="A513" activePane="bottomLeft" state="frozen"/>
      <selection activeCell="E491" sqref="E491"/>
      <selection pane="bottomLeft" activeCell="M553" sqref="M553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hidden="1" customWidth="1"/>
    <col min="10" max="10" width="13.5703125" style="1" hidden="1" customWidth="1"/>
    <col min="11" max="11" width="7.42578125" style="1" hidden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12" x14ac:dyDescent="0.2">
      <c r="A1" s="47">
        <v>369</v>
      </c>
    </row>
    <row r="2" spans="1:12" x14ac:dyDescent="0.2">
      <c r="B2" s="50" t="s">
        <v>0</v>
      </c>
      <c r="C2" s="50"/>
      <c r="D2" s="50"/>
      <c r="E2" s="88"/>
      <c r="F2" s="50"/>
      <c r="G2" s="50"/>
    </row>
    <row r="3" spans="1:12" x14ac:dyDescent="0.2">
      <c r="B3" s="159" t="s">
        <v>1</v>
      </c>
      <c r="C3" s="160"/>
      <c r="D3" s="160"/>
      <c r="E3" s="160"/>
      <c r="F3" s="160"/>
      <c r="G3" s="160"/>
    </row>
    <row r="4" spans="1:12" x14ac:dyDescent="0.2">
      <c r="B4" s="1"/>
      <c r="C4" s="1"/>
      <c r="D4" s="1"/>
      <c r="E4" s="89"/>
    </row>
    <row r="5" spans="1:12" ht="15" x14ac:dyDescent="0.25">
      <c r="A5" s="8" t="s">
        <v>4</v>
      </c>
      <c r="B5" s="9" t="s">
        <v>5</v>
      </c>
      <c r="C5" s="9" t="s">
        <v>6</v>
      </c>
      <c r="D5" s="161" t="s">
        <v>7</v>
      </c>
      <c r="E5" s="162"/>
      <c r="F5" s="9" t="s">
        <v>8</v>
      </c>
      <c r="G5" s="10" t="s">
        <v>9</v>
      </c>
      <c r="L5" s="1"/>
    </row>
    <row r="6" spans="1:12" ht="15" x14ac:dyDescent="0.25">
      <c r="A6" s="8"/>
      <c r="B6" s="9" t="s">
        <v>16</v>
      </c>
      <c r="C6" s="9" t="s">
        <v>16</v>
      </c>
      <c r="D6" s="11" t="s">
        <v>10</v>
      </c>
      <c r="E6" s="90" t="s">
        <v>11</v>
      </c>
      <c r="F6" s="9" t="s">
        <v>16</v>
      </c>
      <c r="G6" s="10"/>
      <c r="L6" s="1"/>
    </row>
    <row r="7" spans="1:12" hidden="1" x14ac:dyDescent="0.2">
      <c r="A7" s="3"/>
    </row>
    <row r="8" spans="1:12" hidden="1" x14ac:dyDescent="0.2">
      <c r="A8" s="83" t="s">
        <v>17</v>
      </c>
      <c r="B8" s="84"/>
      <c r="C8" s="84"/>
      <c r="D8" s="84"/>
      <c r="E8" s="91"/>
      <c r="F8" s="84"/>
      <c r="G8" s="85">
        <v>2000</v>
      </c>
    </row>
    <row r="9" spans="1:12" hidden="1" x14ac:dyDescent="0.2">
      <c r="A9" s="83" t="s">
        <v>18</v>
      </c>
      <c r="B9" s="84"/>
      <c r="C9" s="84"/>
      <c r="D9" s="84"/>
      <c r="E9" s="91"/>
      <c r="F9" s="84"/>
      <c r="G9" s="85">
        <v>4000</v>
      </c>
    </row>
    <row r="10" spans="1:12" hidden="1" x14ac:dyDescent="0.2">
      <c r="A10" s="83" t="s">
        <v>19</v>
      </c>
      <c r="B10" s="84"/>
      <c r="C10" s="84"/>
      <c r="D10" s="84"/>
      <c r="E10" s="91"/>
      <c r="F10" s="84"/>
      <c r="G10" s="85">
        <v>8000</v>
      </c>
    </row>
    <row r="11" spans="1:12" hidden="1" x14ac:dyDescent="0.2">
      <c r="A11" s="83" t="s">
        <v>20</v>
      </c>
      <c r="B11" s="84"/>
      <c r="C11" s="84"/>
      <c r="D11" s="84"/>
      <c r="E11" s="91"/>
      <c r="F11" s="84"/>
      <c r="G11" s="85">
        <v>14000</v>
      </c>
    </row>
    <row r="12" spans="1:12" hidden="1" x14ac:dyDescent="0.2">
      <c r="A12" s="83" t="s">
        <v>21</v>
      </c>
      <c r="B12" s="84"/>
      <c r="C12" s="84"/>
      <c r="D12" s="84"/>
      <c r="E12" s="91"/>
      <c r="F12" s="84"/>
      <c r="G12" s="85">
        <v>29000</v>
      </c>
    </row>
    <row r="13" spans="1:12" hidden="1" x14ac:dyDescent="0.2">
      <c r="A13" s="83" t="s">
        <v>22</v>
      </c>
      <c r="B13" s="84"/>
      <c r="C13" s="84"/>
      <c r="D13" s="84"/>
      <c r="E13" s="91"/>
      <c r="F13" s="84"/>
      <c r="G13" s="85">
        <v>55000</v>
      </c>
    </row>
    <row r="14" spans="1:12" hidden="1" x14ac:dyDescent="0.2">
      <c r="A14" s="83" t="s">
        <v>23</v>
      </c>
      <c r="B14" s="84"/>
      <c r="C14" s="84"/>
      <c r="D14" s="84"/>
      <c r="E14" s="91"/>
      <c r="F14" s="84"/>
      <c r="G14" s="85">
        <v>108000</v>
      </c>
    </row>
    <row r="15" spans="1:12" hidden="1" x14ac:dyDescent="0.2">
      <c r="A15" s="83" t="s">
        <v>24</v>
      </c>
      <c r="B15" s="84"/>
      <c r="C15" s="84"/>
      <c r="D15" s="84"/>
      <c r="E15" s="91"/>
      <c r="F15" s="84"/>
      <c r="G15" s="85">
        <v>177000</v>
      </c>
    </row>
    <row r="16" spans="1:12" hidden="1" x14ac:dyDescent="0.2">
      <c r="A16" s="83" t="s">
        <v>25</v>
      </c>
      <c r="B16" s="84"/>
      <c r="C16" s="84"/>
      <c r="D16" s="84"/>
      <c r="E16" s="91"/>
      <c r="F16" s="84"/>
      <c r="G16" s="85">
        <v>289000</v>
      </c>
    </row>
    <row r="17" spans="1:11" hidden="1" x14ac:dyDescent="0.2">
      <c r="A17" s="83" t="s">
        <v>26</v>
      </c>
      <c r="B17" s="84"/>
      <c r="C17" s="84"/>
      <c r="D17" s="84"/>
      <c r="E17" s="91"/>
      <c r="F17" s="84"/>
      <c r="G17" s="85">
        <v>523000</v>
      </c>
    </row>
    <row r="18" spans="1:11" hidden="1" x14ac:dyDescent="0.2">
      <c r="A18" s="83" t="s">
        <v>27</v>
      </c>
      <c r="B18" s="84"/>
      <c r="C18" s="84"/>
      <c r="D18" s="84">
        <v>136841</v>
      </c>
      <c r="E18" s="91"/>
      <c r="F18" s="84"/>
      <c r="G18" s="85">
        <v>975724</v>
      </c>
    </row>
    <row r="19" spans="1:11" hidden="1" x14ac:dyDescent="0.2">
      <c r="A19" s="83" t="s">
        <v>28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31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29</v>
      </c>
      <c r="J20" s="1" t="s">
        <v>30</v>
      </c>
      <c r="K20" s="1" t="s">
        <v>31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29</v>
      </c>
      <c r="J21" s="1" t="s">
        <v>30</v>
      </c>
      <c r="K21" s="1" t="s">
        <v>31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29</v>
      </c>
      <c r="J22" s="1" t="s">
        <v>30</v>
      </c>
      <c r="K22" s="1" t="s">
        <v>31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29</v>
      </c>
      <c r="J23" s="1" t="s">
        <v>30</v>
      </c>
      <c r="K23" s="1" t="s">
        <v>31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29</v>
      </c>
      <c r="J24" s="1" t="s">
        <v>30</v>
      </c>
      <c r="K24" s="1" t="s">
        <v>31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29</v>
      </c>
      <c r="J25" s="1" t="s">
        <v>30</v>
      </c>
      <c r="K25" s="1" t="s">
        <v>31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29</v>
      </c>
      <c r="J26" s="1" t="s">
        <v>30</v>
      </c>
      <c r="K26" s="1" t="s">
        <v>31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29</v>
      </c>
      <c r="J27" s="1" t="s">
        <v>30</v>
      </c>
      <c r="K27" s="1" t="s">
        <v>31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29</v>
      </c>
      <c r="J28" s="1" t="s">
        <v>30</v>
      </c>
      <c r="K28" s="1" t="s">
        <v>31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29</v>
      </c>
      <c r="J29" s="1" t="s">
        <v>30</v>
      </c>
      <c r="K29" s="1" t="s">
        <v>31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29</v>
      </c>
      <c r="J30" s="1" t="s">
        <v>30</v>
      </c>
      <c r="K30" s="1" t="s">
        <v>31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29</v>
      </c>
      <c r="J31" s="1" t="s">
        <v>30</v>
      </c>
      <c r="K31" s="1" t="s">
        <v>31</v>
      </c>
    </row>
    <row r="32" spans="1:11" hidden="1" collapsed="1" x14ac:dyDescent="0.2">
      <c r="A32" s="83" t="s">
        <v>32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29</v>
      </c>
      <c r="J32" s="1" t="s">
        <v>30</v>
      </c>
      <c r="K32" s="1" t="s">
        <v>31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>D33/G31*100</f>
        <v>-5.1493098822351762</v>
      </c>
      <c r="F33" s="86">
        <f>(G33-G31)-D33</f>
        <v>1208851</v>
      </c>
      <c r="G33" s="86">
        <v>6615586</v>
      </c>
      <c r="H33" s="6"/>
      <c r="I33" s="1" t="s">
        <v>29</v>
      </c>
      <c r="J33" s="1" t="s">
        <v>30</v>
      </c>
      <c r="K33" s="1" t="s">
        <v>31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ref="E34:E44" si="4">D34/G33*100</f>
        <v>1.4409456698167025</v>
      </c>
      <c r="F34" s="86">
        <f t="shared" ref="F34:F44" si="5">(G34-G33)-D34</f>
        <v>0</v>
      </c>
      <c r="G34" s="86">
        <v>6710913</v>
      </c>
      <c r="H34" s="6"/>
      <c r="I34" s="1" t="s">
        <v>29</v>
      </c>
      <c r="J34" s="1" t="s">
        <v>30</v>
      </c>
      <c r="K34" s="1" t="s">
        <v>31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4"/>
        <v>3.1461889015697269</v>
      </c>
      <c r="F35" s="86">
        <f t="shared" si="5"/>
        <v>0</v>
      </c>
      <c r="G35" s="86">
        <v>6922051</v>
      </c>
      <c r="H35" s="6"/>
      <c r="I35" s="1" t="s">
        <v>29</v>
      </c>
      <c r="J35" s="1" t="s">
        <v>30</v>
      </c>
      <c r="K35" s="1" t="s">
        <v>31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4"/>
        <v>-4.8324550050266897</v>
      </c>
      <c r="F36" s="86">
        <f t="shared" si="5"/>
        <v>1537254</v>
      </c>
      <c r="G36" s="86">
        <v>8124800</v>
      </c>
      <c r="H36" s="6"/>
      <c r="I36" s="1" t="s">
        <v>29</v>
      </c>
      <c r="J36" s="1" t="s">
        <v>30</v>
      </c>
      <c r="K36" s="1" t="s">
        <v>31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4"/>
        <v>1.8728953328081923</v>
      </c>
      <c r="F37" s="86">
        <f t="shared" si="5"/>
        <v>0</v>
      </c>
      <c r="G37" s="86">
        <v>8276969</v>
      </c>
      <c r="H37" s="6"/>
      <c r="I37" s="1" t="s">
        <v>29</v>
      </c>
      <c r="J37" s="1" t="s">
        <v>30</v>
      </c>
      <c r="K37" s="1" t="s">
        <v>31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4"/>
        <v>3.4190656023962394</v>
      </c>
      <c r="F38" s="86">
        <f t="shared" si="5"/>
        <v>0</v>
      </c>
      <c r="G38" s="86">
        <v>8559964</v>
      </c>
      <c r="H38" s="6"/>
      <c r="I38" s="1" t="s">
        <v>29</v>
      </c>
      <c r="J38" s="1" t="s">
        <v>30</v>
      </c>
      <c r="K38" s="1" t="s">
        <v>31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4"/>
        <v>-6.9292697959944691</v>
      </c>
      <c r="F39" s="86">
        <f t="shared" si="5"/>
        <v>2122972</v>
      </c>
      <c r="G39" s="86">
        <v>10089793</v>
      </c>
      <c r="H39" s="6"/>
      <c r="I39" s="1" t="s">
        <v>29</v>
      </c>
      <c r="J39" s="1" t="s">
        <v>30</v>
      </c>
      <c r="K39" s="1" t="s">
        <v>31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4"/>
        <v>9.0904243526106026</v>
      </c>
      <c r="F40" s="86">
        <f t="shared" si="5"/>
        <v>902109</v>
      </c>
      <c r="G40" s="86">
        <v>11909107</v>
      </c>
      <c r="H40" s="6"/>
      <c r="I40" s="1" t="s">
        <v>29</v>
      </c>
      <c r="J40" s="1" t="s">
        <v>30</v>
      </c>
      <c r="K40" s="1" t="s">
        <v>31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4"/>
        <v>3.2678604701427236</v>
      </c>
      <c r="F41" s="86">
        <f t="shared" si="5"/>
        <v>1104799</v>
      </c>
      <c r="G41" s="86">
        <v>13403079</v>
      </c>
      <c r="H41" s="6"/>
      <c r="I41" s="1" t="s">
        <v>29</v>
      </c>
      <c r="J41" s="1" t="s">
        <v>30</v>
      </c>
      <c r="K41" s="1" t="s">
        <v>31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4"/>
        <v>3.4728661973864363</v>
      </c>
      <c r="F42" s="86">
        <f t="shared" si="5"/>
        <v>1258588</v>
      </c>
      <c r="G42" s="86">
        <v>15127138</v>
      </c>
      <c r="H42" s="6"/>
      <c r="I42" s="1" t="s">
        <v>29</v>
      </c>
      <c r="J42" s="1" t="s">
        <v>30</v>
      </c>
      <c r="K42" s="1" t="s">
        <v>31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4"/>
        <v>1.7335070255854081</v>
      </c>
      <c r="F43" s="86">
        <f t="shared" si="5"/>
        <v>1484695</v>
      </c>
      <c r="G43" s="86">
        <v>16874063</v>
      </c>
      <c r="H43" s="6"/>
      <c r="I43" s="1" t="s">
        <v>29</v>
      </c>
      <c r="J43" s="1" t="s">
        <v>30</v>
      </c>
      <c r="K43" s="1" t="s">
        <v>31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4"/>
        <v>-0.11094541960641015</v>
      </c>
      <c r="F44" s="86">
        <f t="shared" si="5"/>
        <v>1312079</v>
      </c>
      <c r="G44" s="86">
        <v>18167421</v>
      </c>
      <c r="H44" s="6"/>
      <c r="I44" s="1" t="s">
        <v>29</v>
      </c>
      <c r="J44" s="1" t="s">
        <v>30</v>
      </c>
      <c r="K44" s="1" t="s">
        <v>31</v>
      </c>
    </row>
    <row r="45" spans="1:11" hidden="1" collapsed="1" x14ac:dyDescent="0.2">
      <c r="A45" s="83" t="s">
        <v>33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29</v>
      </c>
      <c r="J45" s="1" t="s">
        <v>30</v>
      </c>
      <c r="K45" s="1" t="s">
        <v>31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>D46/G44*100</f>
        <v>0.49123648315300228</v>
      </c>
      <c r="F46" s="86">
        <f>(G46-G44)-D46</f>
        <v>1418346</v>
      </c>
      <c r="G46" s="86">
        <v>19675012</v>
      </c>
      <c r="H46" s="6"/>
      <c r="I46" s="1" t="s">
        <v>29</v>
      </c>
      <c r="J46" s="1" t="s">
        <v>30</v>
      </c>
      <c r="K46" s="1" t="s">
        <v>31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ref="E47:E57" si="6">D47/G46*100</f>
        <v>0.23453607042272706</v>
      </c>
      <c r="F47" s="86">
        <f t="shared" ref="F47:F57" si="7">(G47-G46)-D47</f>
        <v>1918216</v>
      </c>
      <c r="G47" s="86">
        <v>21639373</v>
      </c>
      <c r="H47" s="6"/>
      <c r="I47" s="1" t="s">
        <v>29</v>
      </c>
      <c r="J47" s="1" t="s">
        <v>30</v>
      </c>
      <c r="K47" s="1" t="s">
        <v>31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6"/>
        <v>0.46996278496608934</v>
      </c>
      <c r="F48" s="86">
        <f t="shared" si="7"/>
        <v>2803699</v>
      </c>
      <c r="G48" s="86">
        <v>24544769</v>
      </c>
      <c r="H48" s="6"/>
      <c r="I48" s="1" t="s">
        <v>29</v>
      </c>
      <c r="J48" s="1" t="s">
        <v>30</v>
      </c>
      <c r="K48" s="1" t="s">
        <v>31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6"/>
        <v>-0.36059821952286453</v>
      </c>
      <c r="F49" s="86">
        <f t="shared" si="7"/>
        <v>2408436</v>
      </c>
      <c r="G49" s="86">
        <v>26864697</v>
      </c>
      <c r="H49" s="6"/>
      <c r="I49" s="1" t="s">
        <v>29</v>
      </c>
      <c r="J49" s="1" t="s">
        <v>30</v>
      </c>
      <c r="K49" s="1" t="s">
        <v>31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6"/>
        <v>-1.0465481892462811</v>
      </c>
      <c r="F50" s="86">
        <f t="shared" si="7"/>
        <v>2482385</v>
      </c>
      <c r="G50" s="86">
        <v>29065930</v>
      </c>
      <c r="H50" s="6"/>
      <c r="I50" s="1" t="s">
        <v>29</v>
      </c>
      <c r="J50" s="1" t="s">
        <v>30</v>
      </c>
      <c r="K50" s="1" t="s">
        <v>31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6"/>
        <v>-1.2997760608382392</v>
      </c>
      <c r="F51" s="86">
        <f t="shared" si="7"/>
        <v>2379987</v>
      </c>
      <c r="G51" s="86">
        <v>31068125</v>
      </c>
      <c r="H51" s="6"/>
      <c r="I51" s="1" t="s">
        <v>29</v>
      </c>
      <c r="J51" s="1" t="s">
        <v>30</v>
      </c>
      <c r="K51" s="1" t="s">
        <v>31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6"/>
        <v>0.10141262145687904</v>
      </c>
      <c r="F52" s="86">
        <f t="shared" si="7"/>
        <v>3392131</v>
      </c>
      <c r="G52" s="86">
        <v>34491763</v>
      </c>
      <c r="H52" s="6"/>
      <c r="I52" s="1" t="s">
        <v>29</v>
      </c>
      <c r="J52" s="1" t="s">
        <v>30</v>
      </c>
      <c r="K52" s="1" t="s">
        <v>31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6"/>
        <v>1.5725812565742145</v>
      </c>
      <c r="F53" s="86">
        <f t="shared" si="7"/>
        <v>3365771</v>
      </c>
      <c r="G53" s="86">
        <v>38399945</v>
      </c>
      <c r="H53" s="6"/>
      <c r="I53" s="1" t="s">
        <v>29</v>
      </c>
      <c r="J53" s="1" t="s">
        <v>30</v>
      </c>
      <c r="K53" s="1" t="s">
        <v>31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6"/>
        <v>1.9903596216088331</v>
      </c>
      <c r="F54" s="86">
        <f t="shared" si="7"/>
        <v>4181813</v>
      </c>
      <c r="G54" s="86">
        <v>43346055</v>
      </c>
      <c r="H54" s="6"/>
      <c r="I54" s="1" t="s">
        <v>29</v>
      </c>
      <c r="J54" s="1" t="s">
        <v>30</v>
      </c>
      <c r="K54" s="1" t="s">
        <v>31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6"/>
        <v>1.5025358132360604</v>
      </c>
      <c r="F55" s="86">
        <f t="shared" si="7"/>
        <v>4891424</v>
      </c>
      <c r="G55" s="86">
        <v>48888769</v>
      </c>
      <c r="H55" s="6"/>
      <c r="I55" s="1" t="s">
        <v>29</v>
      </c>
      <c r="J55" s="1" t="s">
        <v>30</v>
      </c>
      <c r="K55" s="1" t="s">
        <v>31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6"/>
        <v>1.3013643276638853</v>
      </c>
      <c r="F56" s="86">
        <f t="shared" si="7"/>
        <v>6056630</v>
      </c>
      <c r="G56" s="86">
        <v>55581620</v>
      </c>
      <c r="H56" s="6"/>
      <c r="I56" s="1" t="s">
        <v>29</v>
      </c>
      <c r="J56" s="1" t="s">
        <v>30</v>
      </c>
      <c r="K56" s="1" t="s">
        <v>31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6"/>
        <v>-0.29380036062281023</v>
      </c>
      <c r="F57" s="86">
        <f t="shared" si="7"/>
        <v>5731784</v>
      </c>
      <c r="G57" s="86">
        <v>61150105</v>
      </c>
      <c r="H57" s="6"/>
      <c r="I57" s="1" t="s">
        <v>29</v>
      </c>
      <c r="J57" s="1" t="s">
        <v>30</v>
      </c>
      <c r="K57" s="1" t="s">
        <v>31</v>
      </c>
    </row>
    <row r="58" spans="1:11" hidden="1" collapsed="1" x14ac:dyDescent="0.2">
      <c r="A58" s="83" t="s">
        <v>34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29</v>
      </c>
      <c r="J58" s="1" t="s">
        <v>30</v>
      </c>
      <c r="K58" s="1" t="s">
        <v>31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>D59/G57*100</f>
        <v>1.6954476202452964</v>
      </c>
      <c r="F59" s="86">
        <f>(G59-G57)-D59</f>
        <v>7373061</v>
      </c>
      <c r="G59" s="86">
        <v>69559934</v>
      </c>
      <c r="H59" s="6"/>
      <c r="I59" s="1" t="s">
        <v>29</v>
      </c>
      <c r="J59" s="1" t="s">
        <v>30</v>
      </c>
      <c r="K59" s="1" t="s">
        <v>31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ref="E60:E70" si="8">D60/G59*100</f>
        <v>0.39393510637891055</v>
      </c>
      <c r="F60" s="86">
        <f t="shared" ref="F60:F70" si="9">(G60-G59)-D60</f>
        <v>8142879</v>
      </c>
      <c r="G60" s="86">
        <v>77976834</v>
      </c>
      <c r="H60" s="6"/>
      <c r="I60" s="1" t="s">
        <v>29</v>
      </c>
      <c r="J60" s="1" t="s">
        <v>30</v>
      </c>
      <c r="K60" s="1" t="s">
        <v>31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8"/>
        <v>-0.81638862126667011</v>
      </c>
      <c r="F61" s="86">
        <f t="shared" si="9"/>
        <v>9852217</v>
      </c>
      <c r="G61" s="86">
        <v>87192457</v>
      </c>
      <c r="H61" s="6"/>
      <c r="I61" s="1" t="s">
        <v>29</v>
      </c>
      <c r="J61" s="1" t="s">
        <v>30</v>
      </c>
      <c r="K61" s="1" t="s">
        <v>31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8"/>
        <v>0.61992862524793857</v>
      </c>
      <c r="F62" s="86">
        <f t="shared" si="9"/>
        <v>10695909</v>
      </c>
      <c r="G62" s="86">
        <v>98428897</v>
      </c>
      <c r="H62" s="6"/>
      <c r="I62" s="1" t="s">
        <v>29</v>
      </c>
      <c r="J62" s="1" t="s">
        <v>30</v>
      </c>
      <c r="K62" s="1" t="s">
        <v>31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8"/>
        <v>-0.50280051395882253</v>
      </c>
      <c r="F63" s="86">
        <f t="shared" si="9"/>
        <v>12623190</v>
      </c>
      <c r="G63" s="86">
        <v>110557186</v>
      </c>
      <c r="H63" s="6"/>
      <c r="I63" s="1" t="s">
        <v>29</v>
      </c>
      <c r="J63" s="1" t="s">
        <v>30</v>
      </c>
      <c r="K63" s="1" t="s">
        <v>31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8"/>
        <v>-2.1291515144026913</v>
      </c>
      <c r="F64" s="86">
        <f t="shared" si="9"/>
        <v>11128734</v>
      </c>
      <c r="G64" s="86">
        <v>119331990</v>
      </c>
      <c r="H64" s="6"/>
      <c r="I64" s="1" t="s">
        <v>29</v>
      </c>
      <c r="J64" s="1" t="s">
        <v>30</v>
      </c>
      <c r="K64" s="1" t="s">
        <v>31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8"/>
        <v>-3.0789983473836311</v>
      </c>
      <c r="F65" s="86">
        <f t="shared" si="9"/>
        <v>11591056</v>
      </c>
      <c r="G65" s="86">
        <v>127248816</v>
      </c>
      <c r="H65" s="6"/>
      <c r="I65" s="1" t="s">
        <v>29</v>
      </c>
      <c r="J65" s="1" t="s">
        <v>30</v>
      </c>
      <c r="K65" s="1" t="s">
        <v>31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8"/>
        <v>-3.5091540655278077</v>
      </c>
      <c r="F66" s="86">
        <f t="shared" si="9"/>
        <v>10014914</v>
      </c>
      <c r="G66" s="86">
        <v>132798373</v>
      </c>
      <c r="H66" s="6"/>
      <c r="I66" s="1" t="s">
        <v>29</v>
      </c>
      <c r="J66" s="1" t="s">
        <v>30</v>
      </c>
      <c r="K66" s="1" t="s">
        <v>31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8"/>
        <v>4.3405501662283168</v>
      </c>
      <c r="F67" s="86">
        <f t="shared" si="9"/>
        <v>11485552</v>
      </c>
      <c r="G67" s="86">
        <v>150048105</v>
      </c>
      <c r="H67" s="6"/>
      <c r="I67" s="1" t="s">
        <v>29</v>
      </c>
      <c r="J67" s="1" t="s">
        <v>30</v>
      </c>
      <c r="K67" s="1" t="s">
        <v>31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8"/>
        <v>1.508537545342542</v>
      </c>
      <c r="F68" s="86">
        <f t="shared" si="9"/>
        <v>14697334</v>
      </c>
      <c r="G68" s="86">
        <v>167008971</v>
      </c>
      <c r="H68" s="6"/>
      <c r="I68" s="1" t="s">
        <v>29</v>
      </c>
      <c r="J68" s="1" t="s">
        <v>30</v>
      </c>
      <c r="K68" s="1" t="s">
        <v>31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8"/>
        <v>1.5189082267922003</v>
      </c>
      <c r="F69" s="86">
        <f t="shared" si="9"/>
        <v>17051687</v>
      </c>
      <c r="G69" s="86">
        <v>186597371</v>
      </c>
      <c r="H69" s="6"/>
      <c r="I69" s="1" t="s">
        <v>29</v>
      </c>
      <c r="J69" s="1" t="s">
        <v>30</v>
      </c>
      <c r="K69" s="1" t="s">
        <v>31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8"/>
        <v>3.0310662844226246</v>
      </c>
      <c r="F70" s="86">
        <f t="shared" si="9"/>
        <v>24158622</v>
      </c>
      <c r="G70" s="86">
        <v>216411883</v>
      </c>
      <c r="H70" s="6"/>
      <c r="I70" s="1" t="s">
        <v>29</v>
      </c>
      <c r="J70" s="1" t="s">
        <v>30</v>
      </c>
      <c r="K70" s="1" t="s">
        <v>31</v>
      </c>
    </row>
    <row r="71" spans="1:13" hidden="1" collapsed="1" x14ac:dyDescent="0.2">
      <c r="A71" s="83" t="s">
        <v>35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29</v>
      </c>
      <c r="J71" s="1" t="s">
        <v>30</v>
      </c>
      <c r="K71" s="1" t="s">
        <v>31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>D72/G70*100</f>
        <v>7.5304654134911804</v>
      </c>
      <c r="F72" s="86">
        <f>(G72-G70)-D72</f>
        <v>26196900</v>
      </c>
      <c r="G72" s="86">
        <v>258905605</v>
      </c>
      <c r="H72" s="6"/>
      <c r="I72" s="1" t="s">
        <v>29</v>
      </c>
      <c r="J72" s="1" t="s">
        <v>30</v>
      </c>
      <c r="K72" s="1" t="s">
        <v>31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>D73/G72*100</f>
        <v>2.4136032126457825</v>
      </c>
      <c r="F73" s="86">
        <f>(G73-G72)-D73</f>
        <v>37532147</v>
      </c>
      <c r="G73" s="86">
        <v>302686706</v>
      </c>
      <c r="H73" s="6"/>
      <c r="I73" s="1" t="s">
        <v>29</v>
      </c>
      <c r="J73" s="1" t="s">
        <v>30</v>
      </c>
      <c r="K73" s="1" t="s">
        <v>31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>D74/(G73/1000)*100</f>
        <v>-10.588175616804261</v>
      </c>
      <c r="F74" s="86">
        <f>(G74-(G73/1000))-D74</f>
        <v>31491.293999999994</v>
      </c>
      <c r="G74" s="86">
        <v>302129</v>
      </c>
      <c r="H74" s="6"/>
      <c r="I74" s="79" t="s">
        <v>36</v>
      </c>
      <c r="J74" s="79" t="s">
        <v>37</v>
      </c>
      <c r="K74" s="80" t="s">
        <v>31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ref="E75:E83" si="10">D75/G74*100</f>
        <v>-5.860079634857958</v>
      </c>
      <c r="F75" s="86">
        <f t="shared" ref="F75:F83" si="11">(G75-G74)-D75</f>
        <v>283</v>
      </c>
      <c r="G75" s="86">
        <v>284707</v>
      </c>
      <c r="H75" s="6"/>
      <c r="I75" s="6" t="s">
        <v>36</v>
      </c>
      <c r="J75" s="6" t="s">
        <v>37</v>
      </c>
      <c r="K75" s="1" t="s">
        <v>31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0"/>
        <v>-0.25359404580849787</v>
      </c>
      <c r="F76" s="86">
        <f t="shared" si="11"/>
        <v>67</v>
      </c>
      <c r="G76" s="86">
        <v>284052</v>
      </c>
      <c r="H76" s="6"/>
      <c r="I76" s="6" t="s">
        <v>36</v>
      </c>
      <c r="J76" s="6" t="s">
        <v>37</v>
      </c>
      <c r="K76" s="1" t="s">
        <v>31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0"/>
        <v>-1.3353188852745272</v>
      </c>
      <c r="F77" s="86">
        <f t="shared" si="11"/>
        <v>5835</v>
      </c>
      <c r="G77" s="86">
        <v>286094</v>
      </c>
      <c r="H77" s="6"/>
      <c r="I77" s="6" t="s">
        <v>36</v>
      </c>
      <c r="J77" s="6" t="s">
        <v>37</v>
      </c>
      <c r="K77" s="1" t="s">
        <v>31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0"/>
        <v>1.9608939719113299</v>
      </c>
      <c r="F78" s="86">
        <f t="shared" si="11"/>
        <v>257</v>
      </c>
      <c r="G78" s="86">
        <v>291961</v>
      </c>
      <c r="H78" s="6"/>
      <c r="I78" s="6" t="s">
        <v>36</v>
      </c>
      <c r="J78" s="6" t="s">
        <v>37</v>
      </c>
      <c r="K78" s="1" t="s">
        <v>31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0"/>
        <v>1.5128732947208703</v>
      </c>
      <c r="F79" s="86">
        <f t="shared" si="11"/>
        <v>277</v>
      </c>
      <c r="G79" s="86">
        <v>296655</v>
      </c>
      <c r="H79" s="6"/>
      <c r="I79" s="6" t="s">
        <v>36</v>
      </c>
      <c r="J79" s="6" t="s">
        <v>37</v>
      </c>
      <c r="K79" s="1" t="s">
        <v>31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0"/>
        <v>-0.49249127774687768</v>
      </c>
      <c r="F80" s="86">
        <f t="shared" si="11"/>
        <v>17615</v>
      </c>
      <c r="G80" s="86">
        <v>312809</v>
      </c>
      <c r="H80" s="6"/>
      <c r="I80" s="6" t="s">
        <v>36</v>
      </c>
      <c r="J80" s="6" t="s">
        <v>37</v>
      </c>
      <c r="K80" s="1" t="s">
        <v>31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0"/>
        <v>0.19276938962753631</v>
      </c>
      <c r="F81" s="86">
        <f t="shared" si="11"/>
        <v>1489</v>
      </c>
      <c r="G81" s="86">
        <v>314901</v>
      </c>
      <c r="H81" s="6"/>
      <c r="I81" s="6" t="s">
        <v>36</v>
      </c>
      <c r="J81" s="6" t="s">
        <v>37</v>
      </c>
      <c r="K81" s="1" t="s">
        <v>31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0"/>
        <v>-0.46617825919892281</v>
      </c>
      <c r="F82" s="86">
        <f t="shared" si="11"/>
        <v>1948</v>
      </c>
      <c r="G82" s="86">
        <v>315381</v>
      </c>
      <c r="H82" s="6"/>
      <c r="I82" s="6" t="s">
        <v>36</v>
      </c>
      <c r="J82" s="6" t="s">
        <v>37</v>
      </c>
      <c r="K82" s="1" t="s">
        <v>31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0"/>
        <v>-2.3688808139995752</v>
      </c>
      <c r="F83" s="86">
        <f t="shared" si="11"/>
        <v>16824</v>
      </c>
      <c r="G83" s="86">
        <v>324734</v>
      </c>
      <c r="H83" s="6"/>
      <c r="I83" s="6" t="s">
        <v>36</v>
      </c>
      <c r="J83" s="6" t="s">
        <v>37</v>
      </c>
      <c r="K83" s="1" t="s">
        <v>31</v>
      </c>
    </row>
    <row r="84" spans="1:18" hidden="1" collapsed="1" x14ac:dyDescent="0.2">
      <c r="A84" s="83" t="s">
        <v>38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36</v>
      </c>
      <c r="J84" s="6" t="s">
        <v>37</v>
      </c>
      <c r="K84" s="1" t="s">
        <v>31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>D85/G83*100</f>
        <v>5.3970326482598061</v>
      </c>
      <c r="F85" s="86">
        <f>(G85-G83)-D85</f>
        <v>29020</v>
      </c>
      <c r="G85" s="86">
        <v>371280</v>
      </c>
      <c r="H85" s="6"/>
      <c r="I85" s="6" t="s">
        <v>36</v>
      </c>
      <c r="J85" s="6" t="s">
        <v>37</v>
      </c>
      <c r="K85" s="1" t="s">
        <v>31</v>
      </c>
      <c r="Q85" s="75">
        <v>13335</v>
      </c>
      <c r="R85" s="76">
        <f t="shared" ref="R85:R96" si="12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13">D86/G85*100</f>
        <v>7.9627235509588443</v>
      </c>
      <c r="F86" s="86">
        <f t="shared" ref="F86:F96" si="14">(G86-G85)-D86</f>
        <v>60150</v>
      </c>
      <c r="G86" s="86">
        <v>460994</v>
      </c>
      <c r="H86" s="6"/>
      <c r="I86" s="6" t="s">
        <v>36</v>
      </c>
      <c r="J86" s="6" t="s">
        <v>37</v>
      </c>
      <c r="K86" s="1" t="s">
        <v>31</v>
      </c>
      <c r="Q86" s="75">
        <v>16774</v>
      </c>
      <c r="R86" s="76">
        <f t="shared" si="12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13"/>
        <v>5.1057063649418426</v>
      </c>
      <c r="F87" s="86">
        <f t="shared" si="14"/>
        <v>87865</v>
      </c>
      <c r="G87" s="86">
        <v>572396</v>
      </c>
      <c r="H87" s="6"/>
      <c r="I87" s="6" t="s">
        <v>36</v>
      </c>
      <c r="J87" s="6" t="s">
        <v>37</v>
      </c>
      <c r="K87" s="1" t="s">
        <v>31</v>
      </c>
      <c r="Q87" s="75">
        <v>21295</v>
      </c>
      <c r="R87" s="76">
        <f t="shared" si="12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13"/>
        <v>2.8438353866903334</v>
      </c>
      <c r="F88" s="86">
        <f t="shared" si="14"/>
        <v>90770</v>
      </c>
      <c r="G88" s="86">
        <v>679444</v>
      </c>
      <c r="H88" s="6"/>
      <c r="I88" s="6" t="s">
        <v>36</v>
      </c>
      <c r="J88" s="6" t="s">
        <v>37</v>
      </c>
      <c r="K88" s="1" t="s">
        <v>31</v>
      </c>
      <c r="Q88" s="75">
        <v>25520</v>
      </c>
      <c r="R88" s="76">
        <f t="shared" si="12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13"/>
        <v>2.7940492520354878</v>
      </c>
      <c r="F89" s="86">
        <f t="shared" si="14"/>
        <v>140819</v>
      </c>
      <c r="G89" s="86">
        <v>839247</v>
      </c>
      <c r="H89" s="6"/>
      <c r="I89" s="6" t="s">
        <v>36</v>
      </c>
      <c r="J89" s="6" t="s">
        <v>37</v>
      </c>
      <c r="K89" s="1" t="s">
        <v>31</v>
      </c>
      <c r="Q89" s="75">
        <v>31927</v>
      </c>
      <c r="R89" s="76">
        <f t="shared" si="12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13"/>
        <v>2.333043788062394</v>
      </c>
      <c r="F90" s="86">
        <f t="shared" si="14"/>
        <v>197865</v>
      </c>
      <c r="G90" s="86">
        <v>1056692</v>
      </c>
      <c r="H90" s="6"/>
      <c r="I90" s="6" t="s">
        <v>36</v>
      </c>
      <c r="J90" s="6" t="s">
        <v>37</v>
      </c>
      <c r="K90" s="1" t="s">
        <v>31</v>
      </c>
      <c r="Q90" s="75">
        <v>40333</v>
      </c>
      <c r="R90" s="76">
        <f t="shared" si="12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13"/>
        <v>-0.47222842606928034</v>
      </c>
      <c r="F91" s="86">
        <f t="shared" si="14"/>
        <v>191439</v>
      </c>
      <c r="G91" s="86">
        <v>1243141</v>
      </c>
      <c r="H91" s="6"/>
      <c r="I91" s="6" t="s">
        <v>36</v>
      </c>
      <c r="J91" s="6" t="s">
        <v>37</v>
      </c>
      <c r="K91" s="1" t="s">
        <v>31</v>
      </c>
      <c r="Q91" s="75">
        <v>47261</v>
      </c>
      <c r="R91" s="76">
        <f t="shared" si="12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13"/>
        <v>-2.0001753622477256</v>
      </c>
      <c r="F92" s="86">
        <f t="shared" si="14"/>
        <v>108832</v>
      </c>
      <c r="G92" s="86">
        <v>1327108</v>
      </c>
      <c r="H92" s="6"/>
      <c r="I92" s="6" t="s">
        <v>36</v>
      </c>
      <c r="J92" s="6" t="s">
        <v>37</v>
      </c>
      <c r="K92" s="1" t="s">
        <v>31</v>
      </c>
      <c r="Q92" s="75">
        <v>50324</v>
      </c>
      <c r="R92" s="76">
        <f t="shared" si="12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13"/>
        <v>-0.64584042896282745</v>
      </c>
      <c r="F93" s="86">
        <f t="shared" si="14"/>
        <v>107300</v>
      </c>
      <c r="G93" s="86">
        <v>1425837</v>
      </c>
      <c r="H93" s="6"/>
      <c r="I93" s="6" t="s">
        <v>36</v>
      </c>
      <c r="J93" s="6" t="s">
        <v>37</v>
      </c>
      <c r="K93" s="1" t="s">
        <v>31</v>
      </c>
      <c r="Q93" s="75">
        <v>54313</v>
      </c>
      <c r="R93" s="76">
        <f t="shared" si="12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13"/>
        <v>-0.92948913515359755</v>
      </c>
      <c r="F94" s="86">
        <f t="shared" si="14"/>
        <v>112232</v>
      </c>
      <c r="G94" s="86">
        <v>1524816</v>
      </c>
      <c r="H94" s="6"/>
      <c r="I94" s="6" t="s">
        <v>36</v>
      </c>
      <c r="J94" s="6" t="s">
        <v>37</v>
      </c>
      <c r="K94" s="1" t="s">
        <v>31</v>
      </c>
      <c r="Q94" s="75">
        <v>58312</v>
      </c>
      <c r="R94" s="76">
        <f t="shared" si="12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13"/>
        <v>-0.57187227836014309</v>
      </c>
      <c r="F95" s="86">
        <f t="shared" si="14"/>
        <v>147225</v>
      </c>
      <c r="G95" s="86">
        <v>1663321</v>
      </c>
      <c r="H95" s="6"/>
      <c r="I95" s="6" t="s">
        <v>36</v>
      </c>
      <c r="J95" s="6" t="s">
        <v>37</v>
      </c>
      <c r="K95" s="1" t="s">
        <v>31</v>
      </c>
      <c r="Q95" s="75">
        <v>64340</v>
      </c>
      <c r="R95" s="76">
        <f t="shared" si="12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13"/>
        <v>6.4900882030588205</v>
      </c>
      <c r="F96" s="86">
        <f t="shared" si="14"/>
        <v>270885</v>
      </c>
      <c r="G96" s="86">
        <v>2042157</v>
      </c>
      <c r="H96" s="6"/>
      <c r="I96" s="6" t="s">
        <v>36</v>
      </c>
      <c r="J96" s="6" t="s">
        <v>37</v>
      </c>
      <c r="K96" s="1" t="s">
        <v>31</v>
      </c>
      <c r="Q96" s="75">
        <v>79937</v>
      </c>
      <c r="R96" s="76">
        <f t="shared" si="12"/>
        <v>3.9143415516045048E-2</v>
      </c>
    </row>
    <row r="97" spans="1:18" hidden="1" collapsed="1" x14ac:dyDescent="0.2">
      <c r="A97" s="83" t="s">
        <v>39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36</v>
      </c>
      <c r="J97" s="6" t="s">
        <v>37</v>
      </c>
      <c r="K97" s="1" t="s">
        <v>31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>D98/G96*100</f>
        <v>2.3132893308398912</v>
      </c>
      <c r="F98" s="86">
        <f>(G98-G96)-D98</f>
        <v>284712</v>
      </c>
      <c r="G98" s="86">
        <v>2374110</v>
      </c>
      <c r="H98" s="6"/>
      <c r="I98" s="6" t="s">
        <v>36</v>
      </c>
      <c r="J98" s="6" t="s">
        <v>37</v>
      </c>
      <c r="K98" s="1" t="s">
        <v>31</v>
      </c>
      <c r="Q98" s="75">
        <v>93649</v>
      </c>
      <c r="R98" s="76">
        <f t="shared" ref="R98:R109" si="15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ref="E99:E109" si="16">D99/G98*100</f>
        <v>4.8172157145203887</v>
      </c>
      <c r="F99" s="86">
        <f t="shared" ref="F99:F109" si="17">(G99-G98)-D99</f>
        <v>375021</v>
      </c>
      <c r="G99" s="86">
        <v>2863497</v>
      </c>
      <c r="H99" s="6"/>
      <c r="I99" s="6" t="s">
        <v>36</v>
      </c>
      <c r="J99" s="6" t="s">
        <v>37</v>
      </c>
      <c r="K99" s="1" t="s">
        <v>31</v>
      </c>
      <c r="Q99" s="75">
        <v>113311</v>
      </c>
      <c r="R99" s="76">
        <f t="shared" si="15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6"/>
        <v>4.9806233427169646</v>
      </c>
      <c r="F100" s="86">
        <f t="shared" si="17"/>
        <v>455341</v>
      </c>
      <c r="G100" s="86">
        <v>3461458</v>
      </c>
      <c r="H100" s="6"/>
      <c r="I100" s="6" t="s">
        <v>36</v>
      </c>
      <c r="J100" s="6" t="s">
        <v>37</v>
      </c>
      <c r="K100" s="1" t="s">
        <v>31</v>
      </c>
      <c r="Q100" s="75">
        <v>141079</v>
      </c>
      <c r="R100" s="76">
        <f t="shared" si="15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6"/>
        <v>-0.48780022753417784</v>
      </c>
      <c r="F101" s="86">
        <f t="shared" si="17"/>
        <v>554357</v>
      </c>
      <c r="G101" s="86">
        <v>3998930</v>
      </c>
      <c r="H101" s="6"/>
      <c r="I101" s="6" t="s">
        <v>36</v>
      </c>
      <c r="J101" s="6" t="s">
        <v>37</v>
      </c>
      <c r="K101" s="1" t="s">
        <v>31</v>
      </c>
      <c r="Q101" s="75">
        <v>166834</v>
      </c>
      <c r="R101" s="76">
        <f t="shared" si="15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6"/>
        <v>1.7863778560765005</v>
      </c>
      <c r="F102" s="86">
        <f t="shared" si="17"/>
        <v>771597</v>
      </c>
      <c r="G102" s="86">
        <v>4841963</v>
      </c>
      <c r="H102" s="6"/>
      <c r="I102" s="6" t="s">
        <v>36</v>
      </c>
      <c r="J102" s="6" t="s">
        <v>37</v>
      </c>
      <c r="K102" s="1" t="s">
        <v>31</v>
      </c>
      <c r="Q102" s="75">
        <v>202920</v>
      </c>
      <c r="R102" s="76">
        <f t="shared" si="15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6"/>
        <v>1.5648611936935495</v>
      </c>
      <c r="F103" s="86">
        <f t="shared" si="17"/>
        <v>885806</v>
      </c>
      <c r="G103" s="86">
        <v>5803539</v>
      </c>
      <c r="H103" s="6"/>
      <c r="I103" s="6" t="s">
        <v>36</v>
      </c>
      <c r="J103" s="6" t="s">
        <v>37</v>
      </c>
      <c r="K103" s="1" t="s">
        <v>31</v>
      </c>
      <c r="Q103" s="75">
        <v>247048</v>
      </c>
      <c r="R103" s="76">
        <f t="shared" si="15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6"/>
        <v>1.9297190903688248</v>
      </c>
      <c r="F104" s="86">
        <f t="shared" si="17"/>
        <v>1158923</v>
      </c>
      <c r="G104" s="86">
        <v>7074454</v>
      </c>
      <c r="H104" s="6"/>
      <c r="I104" s="6" t="s">
        <v>36</v>
      </c>
      <c r="J104" s="6" t="s">
        <v>37</v>
      </c>
      <c r="K104" s="1" t="s">
        <v>31</v>
      </c>
      <c r="Q104" s="75">
        <v>306279</v>
      </c>
      <c r="R104" s="76">
        <f t="shared" si="15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6"/>
        <v>0.81346207071245369</v>
      </c>
      <c r="F105" s="86">
        <f t="shared" si="17"/>
        <v>1711249</v>
      </c>
      <c r="G105" s="86">
        <v>8843251</v>
      </c>
      <c r="H105" s="6"/>
      <c r="I105" s="6" t="s">
        <v>36</v>
      </c>
      <c r="J105" s="6" t="s">
        <v>37</v>
      </c>
      <c r="K105" s="1" t="s">
        <v>31</v>
      </c>
      <c r="Q105" s="75">
        <v>385218</v>
      </c>
      <c r="R105" s="76">
        <f t="shared" si="15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6"/>
        <v>1.1451331642627807</v>
      </c>
      <c r="F106" s="86">
        <f t="shared" si="17"/>
        <v>1857218</v>
      </c>
      <c r="G106" s="86">
        <v>10801736</v>
      </c>
      <c r="H106" s="6"/>
      <c r="I106" s="6" t="s">
        <v>36</v>
      </c>
      <c r="J106" s="6" t="s">
        <v>37</v>
      </c>
      <c r="K106" s="1" t="s">
        <v>31</v>
      </c>
      <c r="Q106" s="75">
        <v>474322</v>
      </c>
      <c r="R106" s="76">
        <f t="shared" si="15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6"/>
        <v>-6.9174066094561101E-2</v>
      </c>
      <c r="F107" s="86">
        <f t="shared" si="17"/>
        <v>2616693</v>
      </c>
      <c r="G107" s="86">
        <v>13410957</v>
      </c>
      <c r="H107" s="6"/>
      <c r="I107" s="6" t="s">
        <v>36</v>
      </c>
      <c r="J107" s="6" t="s">
        <v>37</v>
      </c>
      <c r="K107" s="1" t="s">
        <v>31</v>
      </c>
      <c r="Q107" s="75">
        <v>596765</v>
      </c>
      <c r="R107" s="76">
        <f t="shared" si="15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6"/>
        <v>-0.78626007077645543</v>
      </c>
      <c r="F108" s="86">
        <f t="shared" si="17"/>
        <v>3680318</v>
      </c>
      <c r="G108" s="86">
        <v>16985830</v>
      </c>
      <c r="H108" s="6"/>
      <c r="I108" s="6" t="s">
        <v>36</v>
      </c>
      <c r="J108" s="6" t="s">
        <v>37</v>
      </c>
      <c r="K108" s="1" t="s">
        <v>31</v>
      </c>
      <c r="Q108" s="75">
        <v>753130</v>
      </c>
      <c r="R108" s="76">
        <f t="shared" si="15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6"/>
        <v>2.5639488915172235</v>
      </c>
      <c r="F109" s="86">
        <f t="shared" si="17"/>
        <v>4685143</v>
      </c>
      <c r="G109" s="86">
        <v>22106481</v>
      </c>
      <c r="H109" s="6"/>
      <c r="I109" s="6" t="s">
        <v>36</v>
      </c>
      <c r="J109" s="6" t="s">
        <v>37</v>
      </c>
      <c r="K109" s="1" t="s">
        <v>31</v>
      </c>
      <c r="Q109" s="75">
        <v>983665</v>
      </c>
      <c r="R109" s="76">
        <f t="shared" si="15"/>
        <v>4.449667950317375E-2</v>
      </c>
    </row>
    <row r="110" spans="1:18" hidden="1" collapsed="1" x14ac:dyDescent="0.2">
      <c r="A110" s="83" t="s">
        <v>40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36</v>
      </c>
      <c r="J110" s="6" t="s">
        <v>37</v>
      </c>
      <c r="K110" s="1" t="s">
        <v>31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>D111/(G109/1000)*100</f>
        <v>-2.3070157570533274</v>
      </c>
      <c r="F111" s="86">
        <f>(G111-(G109/1000))-D111</f>
        <v>6255.5190000000002</v>
      </c>
      <c r="G111" s="86">
        <v>27852</v>
      </c>
      <c r="H111" s="6"/>
      <c r="I111" s="79" t="s">
        <v>41</v>
      </c>
      <c r="J111" s="79" t="s">
        <v>42</v>
      </c>
      <c r="K111" s="80" t="s">
        <v>31</v>
      </c>
      <c r="P111" s="75">
        <v>1246881</v>
      </c>
      <c r="Q111" s="77">
        <f>P111/1000</f>
        <v>1246.8810000000001</v>
      </c>
      <c r="R111" s="76">
        <f t="shared" ref="R111:R122" si="18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ref="E112:E122" si="19">D112/G111*100</f>
        <v>2.1542438604049977E-2</v>
      </c>
      <c r="F112" s="86">
        <f t="shared" ref="F112:F122" si="20">(G112-G111)-D112</f>
        <v>6307</v>
      </c>
      <c r="G112" s="86">
        <v>34165</v>
      </c>
      <c r="H112" s="6"/>
      <c r="I112" s="6" t="s">
        <v>41</v>
      </c>
      <c r="J112" s="6" t="s">
        <v>42</v>
      </c>
      <c r="K112" s="1" t="s">
        <v>31</v>
      </c>
      <c r="P112" s="75">
        <v>1555393</v>
      </c>
      <c r="Q112" s="77">
        <f t="shared" ref="Q112:Q134" si="21">P112/1000</f>
        <v>1555.393</v>
      </c>
      <c r="R112" s="76">
        <f t="shared" si="18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9"/>
        <v>0.75808576028098928</v>
      </c>
      <c r="F113" s="86">
        <f t="shared" si="20"/>
        <v>6485</v>
      </c>
      <c r="G113" s="86">
        <v>40909</v>
      </c>
      <c r="H113" s="6"/>
      <c r="I113" s="6" t="s">
        <v>41</v>
      </c>
      <c r="J113" s="6" t="s">
        <v>42</v>
      </c>
      <c r="K113" s="1" t="s">
        <v>31</v>
      </c>
      <c r="P113" s="75">
        <v>1956031</v>
      </c>
      <c r="Q113" s="77">
        <f t="shared" si="21"/>
        <v>1956.0309999999999</v>
      </c>
      <c r="R113" s="76">
        <f t="shared" si="18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9"/>
        <v>-1.3786697303771787</v>
      </c>
      <c r="F114" s="86">
        <f t="shared" si="20"/>
        <v>8110</v>
      </c>
      <c r="G114" s="86">
        <v>48455</v>
      </c>
      <c r="H114" s="6"/>
      <c r="I114" s="6" t="s">
        <v>41</v>
      </c>
      <c r="J114" s="6" t="s">
        <v>42</v>
      </c>
      <c r="K114" s="1" t="s">
        <v>31</v>
      </c>
      <c r="P114" s="75">
        <v>2310092</v>
      </c>
      <c r="Q114" s="77">
        <f t="shared" si="21"/>
        <v>2310.0920000000001</v>
      </c>
      <c r="R114" s="76">
        <f t="shared" si="18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9"/>
        <v>-5.4483541430192961</v>
      </c>
      <c r="F115" s="86">
        <f t="shared" si="20"/>
        <v>5546</v>
      </c>
      <c r="G115" s="86">
        <v>51361</v>
      </c>
      <c r="H115" s="6"/>
      <c r="I115" s="6" t="s">
        <v>41</v>
      </c>
      <c r="J115" s="6" t="s">
        <v>42</v>
      </c>
      <c r="K115" s="1" t="s">
        <v>31</v>
      </c>
      <c r="P115" s="75">
        <v>2345532</v>
      </c>
      <c r="Q115" s="77">
        <f t="shared" si="21"/>
        <v>2345.5320000000002</v>
      </c>
      <c r="R115" s="76">
        <f t="shared" si="18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9"/>
        <v>-2.2994100582153774</v>
      </c>
      <c r="F116" s="86">
        <f t="shared" si="20"/>
        <v>5366</v>
      </c>
      <c r="G116" s="86">
        <v>55546</v>
      </c>
      <c r="H116" s="6"/>
      <c r="I116" s="6" t="s">
        <v>41</v>
      </c>
      <c r="J116" s="6" t="s">
        <v>42</v>
      </c>
      <c r="K116" s="1" t="s">
        <v>31</v>
      </c>
      <c r="P116" s="75">
        <v>2497887</v>
      </c>
      <c r="Q116" s="77">
        <f t="shared" si="21"/>
        <v>2497.8870000000002</v>
      </c>
      <c r="R116" s="76">
        <f t="shared" si="18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9"/>
        <v>-1.692291074064739</v>
      </c>
      <c r="F117" s="86">
        <f t="shared" si="20"/>
        <v>8956</v>
      </c>
      <c r="G117" s="86">
        <v>63562</v>
      </c>
      <c r="H117" s="6"/>
      <c r="I117" s="6" t="s">
        <v>41</v>
      </c>
      <c r="J117" s="6" t="s">
        <v>42</v>
      </c>
      <c r="K117" s="1" t="s">
        <v>31</v>
      </c>
      <c r="P117" s="75">
        <v>3110504</v>
      </c>
      <c r="Q117" s="77">
        <f t="shared" si="21"/>
        <v>3110.5039999999999</v>
      </c>
      <c r="R117" s="76">
        <f t="shared" si="18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9"/>
        <v>-1.9209590635914542</v>
      </c>
      <c r="F118" s="86">
        <f t="shared" si="20"/>
        <v>25130</v>
      </c>
      <c r="G118" s="86">
        <v>87471</v>
      </c>
      <c r="H118" s="6"/>
      <c r="I118" s="6" t="s">
        <v>41</v>
      </c>
      <c r="J118" s="6" t="s">
        <v>42</v>
      </c>
      <c r="K118" s="1" t="s">
        <v>31</v>
      </c>
      <c r="P118" s="75">
        <v>3983491</v>
      </c>
      <c r="Q118" s="77">
        <f t="shared" si="21"/>
        <v>3983.491</v>
      </c>
      <c r="R118" s="76">
        <f t="shared" si="18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9"/>
        <v>-3.9578831841410298</v>
      </c>
      <c r="F119" s="86">
        <f t="shared" si="20"/>
        <v>25775</v>
      </c>
      <c r="G119" s="86">
        <v>109784</v>
      </c>
      <c r="H119" s="6"/>
      <c r="I119" s="6" t="s">
        <v>41</v>
      </c>
      <c r="J119" s="6" t="s">
        <v>42</v>
      </c>
      <c r="K119" s="1" t="s">
        <v>31</v>
      </c>
      <c r="P119" s="75">
        <v>4935606</v>
      </c>
      <c r="Q119" s="77">
        <f t="shared" si="21"/>
        <v>4935.6059999999998</v>
      </c>
      <c r="R119" s="76">
        <f t="shared" si="18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9"/>
        <v>-3.0122786562704946</v>
      </c>
      <c r="F120" s="86">
        <f t="shared" si="20"/>
        <v>39732</v>
      </c>
      <c r="G120" s="86">
        <v>146209</v>
      </c>
      <c r="H120" s="6"/>
      <c r="I120" s="6" t="s">
        <v>41</v>
      </c>
      <c r="J120" s="6" t="s">
        <v>42</v>
      </c>
      <c r="K120" s="1" t="s">
        <v>31</v>
      </c>
      <c r="P120" s="75">
        <v>6550581</v>
      </c>
      <c r="Q120" s="77">
        <f t="shared" si="21"/>
        <v>6550.5810000000001</v>
      </c>
      <c r="R120" s="76">
        <f t="shared" si="18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9"/>
        <v>-6.5755186069257023</v>
      </c>
      <c r="F121" s="86">
        <f t="shared" si="20"/>
        <v>55368</v>
      </c>
      <c r="G121" s="86">
        <v>191963</v>
      </c>
      <c r="H121" s="6"/>
      <c r="I121" s="6" t="s">
        <v>41</v>
      </c>
      <c r="J121" s="6" t="s">
        <v>42</v>
      </c>
      <c r="K121" s="1" t="s">
        <v>31</v>
      </c>
      <c r="P121" s="75">
        <v>8418852</v>
      </c>
      <c r="Q121" s="77">
        <f t="shared" si="21"/>
        <v>8418.8520000000008</v>
      </c>
      <c r="R121" s="76">
        <f t="shared" si="18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9"/>
        <v>-3.0573600120856623</v>
      </c>
      <c r="F122" s="86">
        <f t="shared" si="20"/>
        <v>80583</v>
      </c>
      <c r="G122" s="86">
        <v>266677</v>
      </c>
      <c r="H122" s="6"/>
      <c r="I122" s="6" t="s">
        <v>41</v>
      </c>
      <c r="J122" s="6" t="s">
        <v>42</v>
      </c>
      <c r="K122" s="1" t="s">
        <v>31</v>
      </c>
      <c r="P122" s="75">
        <v>11650749</v>
      </c>
      <c r="Q122" s="77">
        <f t="shared" si="21"/>
        <v>11650.749</v>
      </c>
      <c r="R122" s="76">
        <f t="shared" si="18"/>
        <v>4.3688615816137123E-2</v>
      </c>
    </row>
    <row r="123" spans="1:18" hidden="1" collapsed="1" x14ac:dyDescent="0.2">
      <c r="A123" s="83" t="s">
        <v>43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41</v>
      </c>
      <c r="J123" s="6" t="s">
        <v>42</v>
      </c>
      <c r="K123" s="1" t="s">
        <v>31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>D124/G122*100</f>
        <v>-2.8153909036024856</v>
      </c>
      <c r="F124" s="86">
        <f>(G124-G122)-D124</f>
        <v>142452</v>
      </c>
      <c r="G124" s="86">
        <v>401621</v>
      </c>
      <c r="H124" s="6"/>
      <c r="I124" s="6" t="s">
        <v>41</v>
      </c>
      <c r="J124" s="6" t="s">
        <v>42</v>
      </c>
      <c r="K124" s="1" t="s">
        <v>31</v>
      </c>
      <c r="P124" s="75">
        <v>17579392</v>
      </c>
      <c r="Q124" s="77">
        <f t="shared" si="21"/>
        <v>17579.392</v>
      </c>
      <c r="R124" s="76">
        <f t="shared" ref="R124:R134" si="22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>D125/G124*100</f>
        <v>43.338122259543198</v>
      </c>
      <c r="F125" s="86">
        <f t="shared" ref="F125:F135" si="23">(G125-G124)-D125</f>
        <v>285546</v>
      </c>
      <c r="G125" s="86">
        <v>861222</v>
      </c>
      <c r="H125" s="6"/>
      <c r="I125" s="6" t="s">
        <v>41</v>
      </c>
      <c r="J125" s="6" t="s">
        <v>42</v>
      </c>
      <c r="K125" s="1" t="s">
        <v>31</v>
      </c>
      <c r="P125" s="75">
        <v>45262281</v>
      </c>
      <c r="Q125" s="77">
        <f t="shared" si="21"/>
        <v>45262.281000000003</v>
      </c>
      <c r="R125" s="76">
        <f t="shared" si="22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>D126/G125*100</f>
        <v>7.5558915122929973</v>
      </c>
      <c r="F126" s="86">
        <f t="shared" si="23"/>
        <v>252250</v>
      </c>
      <c r="G126" s="86">
        <v>1178545</v>
      </c>
      <c r="H126" s="6"/>
      <c r="I126" s="79" t="s">
        <v>29</v>
      </c>
      <c r="J126" s="79" t="s">
        <v>30</v>
      </c>
      <c r="K126" s="80" t="s">
        <v>31</v>
      </c>
      <c r="P126" s="75">
        <v>61542686</v>
      </c>
      <c r="Q126" s="77">
        <f t="shared" si="21"/>
        <v>61542.686000000002</v>
      </c>
      <c r="R126" s="76">
        <f t="shared" si="22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>D127/G126*100</f>
        <v>-29.697635643950804</v>
      </c>
      <c r="F127" s="86">
        <f t="shared" si="23"/>
        <v>1455</v>
      </c>
      <c r="G127" s="86">
        <v>830000</v>
      </c>
      <c r="H127" s="6"/>
      <c r="I127" s="6" t="s">
        <v>29</v>
      </c>
      <c r="J127" s="6" t="s">
        <v>30</v>
      </c>
      <c r="K127" s="1" t="s">
        <v>31</v>
      </c>
      <c r="P127" s="75">
        <v>40347316</v>
      </c>
      <c r="Q127" s="77">
        <f t="shared" si="21"/>
        <v>40347.315999999999</v>
      </c>
      <c r="R127" s="76">
        <f t="shared" si="22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>D128/G126*100</f>
        <v>-4.2425193777072581</v>
      </c>
      <c r="F128" s="86">
        <f t="shared" si="23"/>
        <v>6807</v>
      </c>
      <c r="G128" s="86">
        <v>786807</v>
      </c>
      <c r="H128" s="6"/>
      <c r="I128" s="6" t="s">
        <v>29</v>
      </c>
      <c r="J128" s="6" t="s">
        <v>30</v>
      </c>
      <c r="K128" s="1" t="s">
        <v>31</v>
      </c>
      <c r="P128" s="75">
        <v>38428065</v>
      </c>
      <c r="Q128" s="77">
        <f t="shared" si="21"/>
        <v>38428.065000000002</v>
      </c>
      <c r="R128" s="76">
        <f t="shared" si="22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ref="E129:E135" si="24">D129/G128*100</f>
        <v>-0.89348467921612285</v>
      </c>
      <c r="F129" s="86">
        <f t="shared" si="23"/>
        <v>50796</v>
      </c>
      <c r="G129" s="86">
        <v>830573</v>
      </c>
      <c r="H129" s="6"/>
      <c r="I129" s="6" t="s">
        <v>29</v>
      </c>
      <c r="J129" s="6" t="s">
        <v>30</v>
      </c>
      <c r="K129" s="1" t="s">
        <v>31</v>
      </c>
      <c r="P129" s="75">
        <v>49121976</v>
      </c>
      <c r="Q129" s="77">
        <f t="shared" si="21"/>
        <v>49121.976000000002</v>
      </c>
      <c r="R129" s="76">
        <f t="shared" si="22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24"/>
        <v>10.226193242496445</v>
      </c>
      <c r="F130" s="86">
        <f t="shared" si="23"/>
        <v>74575</v>
      </c>
      <c r="G130" s="86">
        <v>990084</v>
      </c>
      <c r="H130" s="6"/>
      <c r="I130" s="6" t="s">
        <v>29</v>
      </c>
      <c r="J130" s="6" t="s">
        <v>30</v>
      </c>
      <c r="K130" s="1" t="s">
        <v>31</v>
      </c>
      <c r="P130" s="75">
        <v>57141131</v>
      </c>
      <c r="Q130" s="77">
        <f t="shared" si="21"/>
        <v>57141.131000000001</v>
      </c>
      <c r="R130" s="76">
        <f t="shared" si="22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24"/>
        <v>4.3483179204996745</v>
      </c>
      <c r="F131" s="86">
        <f t="shared" si="23"/>
        <v>111778</v>
      </c>
      <c r="G131" s="86">
        <v>1144914</v>
      </c>
      <c r="H131" s="6"/>
      <c r="I131" s="6" t="s">
        <v>29</v>
      </c>
      <c r="J131" s="6" t="s">
        <v>30</v>
      </c>
      <c r="K131" s="1" t="s">
        <v>31</v>
      </c>
      <c r="P131" s="75">
        <v>64239597</v>
      </c>
      <c r="Q131" s="77">
        <f t="shared" si="21"/>
        <v>64239.597000000002</v>
      </c>
      <c r="R131" s="76">
        <f t="shared" si="22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24"/>
        <v>0.79010301210396594</v>
      </c>
      <c r="F132" s="86">
        <f t="shared" si="23"/>
        <v>121430</v>
      </c>
      <c r="G132" s="86">
        <v>1275390</v>
      </c>
      <c r="H132" s="6"/>
      <c r="I132" s="6" t="s">
        <v>29</v>
      </c>
      <c r="J132" s="6" t="s">
        <v>30</v>
      </c>
      <c r="K132" s="1" t="s">
        <v>31</v>
      </c>
      <c r="P132" s="75">
        <v>72524971</v>
      </c>
      <c r="Q132" s="77">
        <f t="shared" si="21"/>
        <v>72524.971000000005</v>
      </c>
      <c r="R132" s="76">
        <f t="shared" si="22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24"/>
        <v>0.23271313088545467</v>
      </c>
      <c r="F133" s="86">
        <f t="shared" si="23"/>
        <v>168427</v>
      </c>
      <c r="G133" s="86">
        <v>1446785</v>
      </c>
      <c r="H133" s="6"/>
      <c r="I133" s="6" t="s">
        <v>29</v>
      </c>
      <c r="J133" s="6" t="s">
        <v>30</v>
      </c>
      <c r="K133" s="1" t="s">
        <v>31</v>
      </c>
      <c r="P133" s="75">
        <v>81040963</v>
      </c>
      <c r="Q133" s="77">
        <f t="shared" si="21"/>
        <v>81040.963000000003</v>
      </c>
      <c r="R133" s="76">
        <f t="shared" si="22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24"/>
        <v>-0.57334019913117706</v>
      </c>
      <c r="F134" s="86">
        <f t="shared" si="23"/>
        <v>198891</v>
      </c>
      <c r="G134" s="86">
        <v>1637381</v>
      </c>
      <c r="H134" s="6"/>
      <c r="I134" s="6" t="s">
        <v>29</v>
      </c>
      <c r="J134" s="6" t="s">
        <v>30</v>
      </c>
      <c r="K134" s="1" t="s">
        <v>31</v>
      </c>
      <c r="P134" s="75">
        <v>97394073</v>
      </c>
      <c r="Q134" s="77">
        <f t="shared" si="21"/>
        <v>97394.073000000004</v>
      </c>
      <c r="R134" s="76">
        <f t="shared" si="22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24"/>
        <v>5.1039434316142671</v>
      </c>
      <c r="F135" s="86">
        <f t="shared" si="23"/>
        <v>327824</v>
      </c>
      <c r="G135" s="86">
        <v>2048776</v>
      </c>
      <c r="H135" s="6"/>
      <c r="I135" s="6" t="s">
        <v>29</v>
      </c>
      <c r="J135" s="6" t="s">
        <v>30</v>
      </c>
      <c r="K135" s="1" t="s">
        <v>31</v>
      </c>
    </row>
    <row r="136" spans="1:18" hidden="1" collapsed="1" x14ac:dyDescent="0.2">
      <c r="A136" s="83" t="s">
        <v>44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29</v>
      </c>
      <c r="J136" s="6" t="s">
        <v>30</v>
      </c>
      <c r="K136" s="1" t="s">
        <v>31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>D137/G135*100</f>
        <v>2.3774683030258066</v>
      </c>
      <c r="F137" s="86">
        <f>(G137-G135)-D137</f>
        <v>350917</v>
      </c>
      <c r="G137" s="86">
        <v>2448402</v>
      </c>
      <c r="H137" s="6"/>
      <c r="I137" s="6" t="s">
        <v>29</v>
      </c>
      <c r="J137" s="6" t="s">
        <v>30</v>
      </c>
      <c r="K137" s="1" t="s">
        <v>31</v>
      </c>
      <c r="P137" s="75">
        <v>118484148</v>
      </c>
      <c r="Q137" s="77">
        <f t="shared" ref="Q137:Q148" si="25">P137/1000</f>
        <v>118484.148</v>
      </c>
      <c r="R137" s="76">
        <f t="shared" ref="R137:R148" si="26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ref="E138:E148" si="27">D138/G137*100</f>
        <v>2.6898360645024799</v>
      </c>
      <c r="F138" s="86">
        <f t="shared" ref="F138:F148" si="28">(G138-G137)-D138</f>
        <v>391733</v>
      </c>
      <c r="G138" s="86">
        <v>2905993</v>
      </c>
      <c r="H138" s="6"/>
      <c r="I138" s="6" t="s">
        <v>29</v>
      </c>
      <c r="J138" s="6" t="s">
        <v>30</v>
      </c>
      <c r="K138" s="1" t="s">
        <v>31</v>
      </c>
      <c r="P138" s="75">
        <v>139048196</v>
      </c>
      <c r="Q138" s="77">
        <f t="shared" si="25"/>
        <v>139048.196</v>
      </c>
      <c r="R138" s="76">
        <f t="shared" si="26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7"/>
        <v>4.1157359979876063</v>
      </c>
      <c r="F139" s="86">
        <f t="shared" si="28"/>
        <v>271080</v>
      </c>
      <c r="G139" s="86">
        <v>3296676</v>
      </c>
      <c r="H139" s="6"/>
      <c r="I139" s="6" t="s">
        <v>29</v>
      </c>
      <c r="J139" s="6" t="s">
        <v>30</v>
      </c>
      <c r="K139" s="1" t="s">
        <v>31</v>
      </c>
      <c r="P139" s="75">
        <v>154105677</v>
      </c>
      <c r="Q139" s="77">
        <f t="shared" si="25"/>
        <v>154105.677</v>
      </c>
      <c r="R139" s="76">
        <f t="shared" si="26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7"/>
        <v>-0.43625761221302911</v>
      </c>
      <c r="F140" s="86">
        <f t="shared" si="28"/>
        <v>260713</v>
      </c>
      <c r="G140" s="86">
        <v>3543007</v>
      </c>
      <c r="H140" s="6"/>
      <c r="I140" s="6" t="s">
        <v>29</v>
      </c>
      <c r="J140" s="6" t="s">
        <v>30</v>
      </c>
      <c r="K140" s="1" t="s">
        <v>31</v>
      </c>
      <c r="P140" s="75">
        <v>168680014</v>
      </c>
      <c r="Q140" s="77">
        <f t="shared" si="25"/>
        <v>168680.014</v>
      </c>
      <c r="R140" s="76">
        <f t="shared" si="26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7"/>
        <v>-0.299406690418619</v>
      </c>
      <c r="F141" s="86">
        <f t="shared" si="28"/>
        <v>307110</v>
      </c>
      <c r="G141" s="86">
        <v>3839509</v>
      </c>
      <c r="H141" s="6"/>
      <c r="I141" s="6" t="s">
        <v>29</v>
      </c>
      <c r="J141" s="6" t="s">
        <v>30</v>
      </c>
      <c r="K141" s="1" t="s">
        <v>31</v>
      </c>
      <c r="P141" s="75">
        <v>185216016</v>
      </c>
      <c r="Q141" s="77">
        <f t="shared" si="25"/>
        <v>185216.016</v>
      </c>
      <c r="R141" s="76">
        <f t="shared" si="26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7"/>
        <v>2.8161152897414747</v>
      </c>
      <c r="F142" s="86">
        <f t="shared" si="28"/>
        <v>390219</v>
      </c>
      <c r="G142" s="86">
        <v>4337853</v>
      </c>
      <c r="H142" s="6"/>
      <c r="I142" s="6" t="s">
        <v>29</v>
      </c>
      <c r="J142" s="6" t="s">
        <v>30</v>
      </c>
      <c r="K142" s="1" t="s">
        <v>31</v>
      </c>
      <c r="P142" s="75">
        <v>209466780</v>
      </c>
      <c r="Q142" s="77">
        <f t="shared" si="25"/>
        <v>209466.78</v>
      </c>
      <c r="R142" s="76">
        <f t="shared" si="26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7"/>
        <v>2.8915226034630495</v>
      </c>
      <c r="F143" s="86">
        <f t="shared" si="28"/>
        <v>380568</v>
      </c>
      <c r="G143" s="86">
        <v>4843851</v>
      </c>
      <c r="H143" s="6"/>
      <c r="I143" s="6" t="s">
        <v>29</v>
      </c>
      <c r="J143" s="6" t="s">
        <v>30</v>
      </c>
      <c r="K143" s="1" t="s">
        <v>31</v>
      </c>
      <c r="P143" s="75">
        <v>240486632</v>
      </c>
      <c r="Q143" s="77">
        <f t="shared" si="25"/>
        <v>240486.63200000001</v>
      </c>
      <c r="R143" s="76">
        <f t="shared" si="26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7"/>
        <v>-8.3569870336639179E-2</v>
      </c>
      <c r="F144" s="86">
        <f t="shared" si="28"/>
        <v>528522</v>
      </c>
      <c r="G144" s="86">
        <v>5368325</v>
      </c>
      <c r="H144" s="6"/>
      <c r="I144" s="6" t="s">
        <v>29</v>
      </c>
      <c r="J144" s="6" t="s">
        <v>30</v>
      </c>
      <c r="K144" s="1" t="s">
        <v>31</v>
      </c>
      <c r="P144" s="75">
        <v>267210772</v>
      </c>
      <c r="Q144" s="77">
        <f t="shared" si="25"/>
        <v>267210.772</v>
      </c>
      <c r="R144" s="76">
        <f t="shared" si="26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7"/>
        <v>0.60128624850395607</v>
      </c>
      <c r="F145" s="86">
        <f t="shared" si="28"/>
        <v>701309</v>
      </c>
      <c r="G145" s="86">
        <v>6101913</v>
      </c>
      <c r="H145" s="6"/>
      <c r="I145" s="6" t="s">
        <v>29</v>
      </c>
      <c r="J145" s="6" t="s">
        <v>30</v>
      </c>
      <c r="K145" s="1" t="s">
        <v>31</v>
      </c>
      <c r="P145" s="75">
        <v>309849105</v>
      </c>
      <c r="Q145" s="77">
        <f t="shared" si="25"/>
        <v>309849.10499999998</v>
      </c>
      <c r="R145" s="76">
        <f t="shared" si="26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7"/>
        <v>1.2415942344638478</v>
      </c>
      <c r="F146" s="86">
        <f t="shared" si="28"/>
        <v>1039704</v>
      </c>
      <c r="G146" s="86">
        <v>7217378</v>
      </c>
      <c r="H146" s="6"/>
      <c r="I146" s="6" t="s">
        <v>29</v>
      </c>
      <c r="J146" s="6" t="s">
        <v>30</v>
      </c>
      <c r="K146" s="1" t="s">
        <v>31</v>
      </c>
      <c r="P146" s="75">
        <v>368574224</v>
      </c>
      <c r="Q146" s="77">
        <f t="shared" si="25"/>
        <v>368574.22399999999</v>
      </c>
      <c r="R146" s="76">
        <f t="shared" si="26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7"/>
        <v>3.1971998695371089</v>
      </c>
      <c r="F147" s="86">
        <f t="shared" si="28"/>
        <v>1621832</v>
      </c>
      <c r="G147" s="86">
        <v>9069964</v>
      </c>
      <c r="H147" s="6"/>
      <c r="I147" s="6" t="s">
        <v>29</v>
      </c>
      <c r="J147" s="6" t="s">
        <v>30</v>
      </c>
      <c r="K147" s="1" t="s">
        <v>31</v>
      </c>
      <c r="P147" s="75">
        <v>465976593</v>
      </c>
      <c r="Q147" s="77">
        <f t="shared" si="25"/>
        <v>465976.59299999999</v>
      </c>
      <c r="R147" s="76">
        <f t="shared" si="26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7"/>
        <v>21.861431864558671</v>
      </c>
      <c r="F148" s="86">
        <f t="shared" si="28"/>
        <v>2651770</v>
      </c>
      <c r="G148" s="86">
        <v>13704558</v>
      </c>
      <c r="H148" s="6"/>
      <c r="I148" s="6" t="s">
        <v>29</v>
      </c>
      <c r="J148" s="6" t="s">
        <v>30</v>
      </c>
      <c r="K148" s="1" t="s">
        <v>31</v>
      </c>
      <c r="P148" s="75">
        <v>755056952</v>
      </c>
      <c r="Q148" s="77">
        <f t="shared" si="25"/>
        <v>755056.95200000005</v>
      </c>
      <c r="R148" s="76">
        <f t="shared" si="26"/>
        <v>5.5095315879578173E-2</v>
      </c>
    </row>
    <row r="149" spans="1:18" hidden="1" collapsed="1" x14ac:dyDescent="0.2">
      <c r="A149" s="83" t="s">
        <v>45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29</v>
      </c>
      <c r="J149" s="6" t="s">
        <v>30</v>
      </c>
      <c r="K149" s="1" t="s">
        <v>31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>D150/G148*100</f>
        <v>0.26119047400142348</v>
      </c>
      <c r="F150" s="86">
        <f>(G150-G148)-D150</f>
        <v>3450725</v>
      </c>
      <c r="G150" s="86">
        <v>17191078</v>
      </c>
      <c r="I150" s="6" t="s">
        <v>29</v>
      </c>
      <c r="J150" s="6" t="s">
        <v>30</v>
      </c>
      <c r="K150" s="1" t="s">
        <v>31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ref="E151:E161" si="29">D151/G150*100</f>
        <v>2.4215119028603094</v>
      </c>
      <c r="F151" s="86">
        <f t="shared" ref="F151:F161" si="30">(G151-G150)-D151</f>
        <v>4530637</v>
      </c>
      <c r="G151" s="86">
        <v>22137999</v>
      </c>
      <c r="I151" s="6" t="s">
        <v>29</v>
      </c>
      <c r="J151" s="6" t="s">
        <v>30</v>
      </c>
      <c r="K151" s="1" t="s">
        <v>31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9"/>
        <v>-0.45377181560085894</v>
      </c>
      <c r="F152" s="86">
        <f t="shared" si="30"/>
        <v>5304101</v>
      </c>
      <c r="G152" s="86">
        <v>27341644</v>
      </c>
      <c r="I152" s="6" t="s">
        <v>29</v>
      </c>
      <c r="J152" s="6" t="s">
        <v>30</v>
      </c>
      <c r="K152" s="1" t="s">
        <v>31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9"/>
        <v>4.1646288716216189</v>
      </c>
      <c r="F153" s="86">
        <f t="shared" si="30"/>
        <v>6725728</v>
      </c>
      <c r="G153" s="86">
        <v>35206050</v>
      </c>
      <c r="I153" s="6" t="s">
        <v>29</v>
      </c>
      <c r="J153" s="6" t="s">
        <v>30</v>
      </c>
      <c r="K153" s="1" t="s">
        <v>31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9"/>
        <v>-2.882126793548268</v>
      </c>
      <c r="F154" s="86">
        <f t="shared" si="30"/>
        <v>6912395</v>
      </c>
      <c r="G154" s="86">
        <v>41103762</v>
      </c>
      <c r="I154" s="6" t="s">
        <v>29</v>
      </c>
      <c r="J154" s="6" t="s">
        <v>30</v>
      </c>
      <c r="K154" s="1" t="s">
        <v>31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9"/>
        <v>1.4506482399348264</v>
      </c>
      <c r="F155" s="86">
        <f t="shared" si="30"/>
        <v>8871242</v>
      </c>
      <c r="G155" s="86">
        <v>50571275</v>
      </c>
      <c r="I155" s="6" t="s">
        <v>29</v>
      </c>
      <c r="J155" s="6" t="s">
        <v>30</v>
      </c>
      <c r="K155" s="1" t="s">
        <v>31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9"/>
        <v>0.91781352160885799</v>
      </c>
      <c r="F156" s="86">
        <f t="shared" si="30"/>
        <v>10568069</v>
      </c>
      <c r="G156" s="86">
        <v>61603494</v>
      </c>
      <c r="I156" s="6" t="s">
        <v>29</v>
      </c>
      <c r="J156" s="6" t="s">
        <v>30</v>
      </c>
      <c r="K156" s="1" t="s">
        <v>31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9"/>
        <v>1.179773991390813</v>
      </c>
      <c r="F157" s="86">
        <f t="shared" si="30"/>
        <v>14471483</v>
      </c>
      <c r="G157" s="86">
        <v>76801759</v>
      </c>
      <c r="I157" s="6" t="s">
        <v>29</v>
      </c>
      <c r="J157" s="6" t="s">
        <v>30</v>
      </c>
      <c r="K157" s="1" t="s">
        <v>31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9"/>
        <v>1.8031032336121366</v>
      </c>
      <c r="F158" s="86">
        <f t="shared" si="30"/>
        <v>18831998</v>
      </c>
      <c r="G158" s="86">
        <v>97018572</v>
      </c>
      <c r="I158" s="6" t="s">
        <v>29</v>
      </c>
      <c r="J158" s="6" t="s">
        <v>30</v>
      </c>
      <c r="K158" s="1" t="s">
        <v>31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9"/>
        <v>3.6592952532840823</v>
      </c>
      <c r="F159" s="86">
        <f t="shared" si="30"/>
        <v>24262277</v>
      </c>
      <c r="G159" s="86">
        <v>124831045</v>
      </c>
      <c r="I159" s="6" t="s">
        <v>29</v>
      </c>
      <c r="J159" s="6" t="s">
        <v>30</v>
      </c>
      <c r="K159" s="1" t="s">
        <v>31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9"/>
        <v>1.2652109096739517</v>
      </c>
      <c r="F160" s="86">
        <f t="shared" si="30"/>
        <v>30709273</v>
      </c>
      <c r="G160" s="86">
        <v>157119694</v>
      </c>
      <c r="I160" s="6" t="s">
        <v>29</v>
      </c>
      <c r="J160" s="6" t="s">
        <v>30</v>
      </c>
      <c r="K160" s="1" t="s">
        <v>31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9"/>
        <v>7.0595822316201815</v>
      </c>
      <c r="F161" s="86">
        <f t="shared" si="30"/>
        <v>37697312</v>
      </c>
      <c r="G161" s="86">
        <v>205909000</v>
      </c>
      <c r="I161" s="6" t="s">
        <v>29</v>
      </c>
      <c r="J161" s="6" t="s">
        <v>30</v>
      </c>
      <c r="K161" s="1" t="s">
        <v>31</v>
      </c>
    </row>
    <row r="162" spans="1:13" hidden="1" collapsed="1" x14ac:dyDescent="0.2">
      <c r="A162" s="83" t="s">
        <v>46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29</v>
      </c>
      <c r="J162" s="6" t="s">
        <v>30</v>
      </c>
      <c r="K162" s="1" t="s">
        <v>31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>D163/G163*100</f>
        <v>0.12988812133465488</v>
      </c>
      <c r="F163" s="86">
        <f>(G163-G161)-D163</f>
        <v>48116445</v>
      </c>
      <c r="G163" s="86">
        <v>254355823</v>
      </c>
      <c r="I163" s="6" t="s">
        <v>29</v>
      </c>
      <c r="J163" s="6" t="s">
        <v>30</v>
      </c>
      <c r="K163" s="1" t="s">
        <v>31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ref="E164:E169" si="31">D164/G163*100</f>
        <v>9.0927019980195229</v>
      </c>
      <c r="F164" s="86">
        <f t="shared" ref="F164:F169" si="32">(G164-G163)-D164</f>
        <v>73899966</v>
      </c>
      <c r="G164" s="86">
        <v>351383606</v>
      </c>
      <c r="I164" s="6" t="s">
        <v>29</v>
      </c>
      <c r="J164" s="6" t="s">
        <v>30</v>
      </c>
      <c r="K164" s="1" t="s">
        <v>31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31"/>
        <v>-0.97510923716799691</v>
      </c>
      <c r="F165" s="86">
        <f t="shared" si="32"/>
        <v>90304495</v>
      </c>
      <c r="G165" s="86">
        <v>438261727</v>
      </c>
      <c r="I165" s="6" t="s">
        <v>29</v>
      </c>
      <c r="J165" s="6" t="s">
        <v>30</v>
      </c>
      <c r="K165" s="1" t="s">
        <v>31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31"/>
        <v>-0.91323990972179969</v>
      </c>
      <c r="F166" s="86">
        <f t="shared" si="32"/>
        <v>112061383</v>
      </c>
      <c r="G166" s="86">
        <v>546320729</v>
      </c>
      <c r="I166" s="6" t="s">
        <v>29</v>
      </c>
      <c r="J166" s="6" t="s">
        <v>30</v>
      </c>
      <c r="K166" s="1" t="s">
        <v>31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31"/>
        <v>7.6287033948514145</v>
      </c>
      <c r="F167" s="86">
        <f t="shared" si="32"/>
        <v>149448106</v>
      </c>
      <c r="G167" s="86">
        <v>737446023</v>
      </c>
      <c r="I167" s="6" t="s">
        <v>29</v>
      </c>
      <c r="J167" s="6" t="s">
        <v>30</v>
      </c>
      <c r="K167" s="1" t="s">
        <v>31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31"/>
        <v>4.1234844383993652</v>
      </c>
      <c r="F168" s="86">
        <f t="shared" si="32"/>
        <v>217660384</v>
      </c>
      <c r="G168" s="86">
        <v>985514879</v>
      </c>
      <c r="I168" s="6" t="s">
        <v>29</v>
      </c>
      <c r="J168" s="6" t="s">
        <v>30</v>
      </c>
      <c r="K168" s="1" t="s">
        <v>31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31"/>
        <v>2.8442018073275581</v>
      </c>
      <c r="F169" s="86">
        <f t="shared" si="32"/>
        <v>286812413</v>
      </c>
      <c r="G169" s="86">
        <v>1300357324</v>
      </c>
      <c r="I169" s="6" t="s">
        <v>29</v>
      </c>
      <c r="J169" s="6" t="s">
        <v>30</v>
      </c>
      <c r="K169" s="1" t="s">
        <v>31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>D170/(G169/1000)*100</f>
        <v>2.6294311085835047</v>
      </c>
      <c r="F170" s="86">
        <f>(G170-(G169/1000))-D170</f>
        <v>408617.67599999998</v>
      </c>
      <c r="G170" s="86">
        <v>1743167</v>
      </c>
      <c r="I170" s="79" t="s">
        <v>47</v>
      </c>
      <c r="J170" s="79" t="s">
        <v>48</v>
      </c>
      <c r="K170" s="80" t="s">
        <v>31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>D171/G170*100</f>
        <v>2.0218372651616283</v>
      </c>
      <c r="F171" s="86">
        <f>(G171-G170)-D171</f>
        <v>575784</v>
      </c>
      <c r="G171" s="86">
        <v>2354195</v>
      </c>
      <c r="I171" s="78" t="s">
        <v>47</v>
      </c>
      <c r="J171" s="6" t="s">
        <v>48</v>
      </c>
      <c r="K171" s="1" t="s">
        <v>31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>D172/G171*100</f>
        <v>6.0851373824173445</v>
      </c>
      <c r="F172" s="86">
        <f>(G172-G171)-D172</f>
        <v>840184</v>
      </c>
      <c r="G172" s="86">
        <v>3337635</v>
      </c>
      <c r="I172" s="78" t="s">
        <v>47</v>
      </c>
      <c r="J172" s="6" t="s">
        <v>48</v>
      </c>
      <c r="K172" s="1" t="s">
        <v>31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>D173/G172*100</f>
        <v>4.0619180946987914</v>
      </c>
      <c r="F173" s="86">
        <f>(G173-G172)-D173</f>
        <v>1236174</v>
      </c>
      <c r="G173" s="86">
        <v>4709381</v>
      </c>
      <c r="I173" s="78" t="s">
        <v>47</v>
      </c>
      <c r="J173" s="6" t="s">
        <v>48</v>
      </c>
      <c r="K173" s="1" t="s">
        <v>31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>D174/G173*100</f>
        <v>16.452947850258877</v>
      </c>
      <c r="F174" s="86">
        <f>(G174-G173)-D174</f>
        <v>1664629</v>
      </c>
      <c r="G174" s="86">
        <v>7148842</v>
      </c>
      <c r="I174" s="78" t="s">
        <v>47</v>
      </c>
      <c r="J174" s="6" t="s">
        <v>48</v>
      </c>
      <c r="K174" s="1" t="s">
        <v>31</v>
      </c>
    </row>
    <row r="175" spans="1:13" hidden="1" collapsed="1" x14ac:dyDescent="0.2">
      <c r="A175" s="83" t="s">
        <v>49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47</v>
      </c>
      <c r="J175" s="6" t="s">
        <v>48</v>
      </c>
      <c r="K175" s="1" t="s">
        <v>31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>D176/G174*100</f>
        <v>7.5942369407520829</v>
      </c>
      <c r="F176" s="86">
        <f>(G176-G174)-D176</f>
        <v>2748280</v>
      </c>
      <c r="G176" s="86">
        <v>10440022</v>
      </c>
      <c r="I176" s="78" t="s">
        <v>47</v>
      </c>
      <c r="J176" s="6" t="s">
        <v>48</v>
      </c>
      <c r="K176" s="1" t="s">
        <v>31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>D177/G176*100</f>
        <v>-2.8910571261248301</v>
      </c>
      <c r="F177" s="86">
        <f>(G177-G176)-D177</f>
        <v>4599787</v>
      </c>
      <c r="G177" s="86">
        <v>14737982</v>
      </c>
      <c r="I177" s="78" t="s">
        <v>47</v>
      </c>
      <c r="J177" s="6" t="s">
        <v>48</v>
      </c>
      <c r="K177" s="1" t="s">
        <v>31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>D178/G177*100</f>
        <v>0.23610423733724195</v>
      </c>
      <c r="F178" s="86">
        <f>(G178-G177)-D178</f>
        <v>5584268</v>
      </c>
      <c r="G178" s="86">
        <v>20357047</v>
      </c>
      <c r="I178" s="78" t="s">
        <v>47</v>
      </c>
      <c r="J178" s="6" t="s">
        <v>48</v>
      </c>
      <c r="K178" s="1" t="s">
        <v>31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>D179/G178*100</f>
        <v>-0.32149063663310301</v>
      </c>
      <c r="F179" s="86">
        <f>(G179-G178)-D179</f>
        <v>8717555</v>
      </c>
      <c r="G179" s="86">
        <v>29009156</v>
      </c>
      <c r="I179" s="78" t="s">
        <v>47</v>
      </c>
      <c r="J179" s="6" t="s">
        <v>48</v>
      </c>
      <c r="K179" s="1" t="s">
        <v>31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>D180/G179*100</f>
        <v>1.8417150778188791</v>
      </c>
      <c r="F180" s="86">
        <f>(G180-G179)-D180</f>
        <v>13673033</v>
      </c>
      <c r="G180" s="86">
        <v>43216455</v>
      </c>
      <c r="I180" s="78" t="s">
        <v>47</v>
      </c>
      <c r="J180" s="6" t="s">
        <v>48</v>
      </c>
      <c r="K180" s="1" t="s">
        <v>31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>D181/G180*100</f>
        <v>4.0782475101208551</v>
      </c>
      <c r="F181" s="86">
        <f>(G181-G180)-D181</f>
        <v>20791205</v>
      </c>
      <c r="G181" s="86">
        <v>65770134</v>
      </c>
      <c r="I181" s="78" t="s">
        <v>47</v>
      </c>
      <c r="J181" s="6" t="s">
        <v>48</v>
      </c>
      <c r="K181" s="1" t="s">
        <v>31</v>
      </c>
      <c r="M181" s="6"/>
    </row>
    <row r="182" spans="1:15" hidden="1" outlineLevel="1" x14ac:dyDescent="0.2">
      <c r="A182" s="93">
        <v>34516</v>
      </c>
      <c r="B182" s="86">
        <f t="shared" ref="B182:B187" si="33">(C182+D182)</f>
        <v>8344.0460000000003</v>
      </c>
      <c r="C182" s="86">
        <v>6632</v>
      </c>
      <c r="D182" s="86">
        <v>1712.046</v>
      </c>
      <c r="E182" s="92">
        <f>(D182/(G181/2750)*100)</f>
        <v>7.1584566028100234</v>
      </c>
      <c r="F182" s="86">
        <f>(G182-(G181/2750))-D182</f>
        <v>7554.3026363636363</v>
      </c>
      <c r="G182" s="86">
        <v>33182.760999999999</v>
      </c>
      <c r="I182" s="79" t="s">
        <v>50</v>
      </c>
      <c r="J182" s="79" t="s">
        <v>51</v>
      </c>
      <c r="K182" s="80" t="s">
        <v>31</v>
      </c>
      <c r="O182" s="75"/>
    </row>
    <row r="183" spans="1:15" hidden="1" outlineLevel="1" x14ac:dyDescent="0.2">
      <c r="A183" s="93">
        <v>34547</v>
      </c>
      <c r="B183" s="86">
        <f t="shared" si="33"/>
        <v>6107.8050000000003</v>
      </c>
      <c r="C183" s="86">
        <v>6701</v>
      </c>
      <c r="D183" s="86">
        <v>-593.19500000000005</v>
      </c>
      <c r="E183" s="92">
        <f>(D183/G182*100)</f>
        <v>-1.7876601648669321</v>
      </c>
      <c r="F183" s="86">
        <f>(G183-G182)-D183</f>
        <v>1464.1679999999983</v>
      </c>
      <c r="G183" s="86">
        <v>34053.733999999997</v>
      </c>
      <c r="I183" s="1" t="s">
        <v>50</v>
      </c>
      <c r="J183" s="1" t="s">
        <v>51</v>
      </c>
      <c r="K183" s="1" t="s">
        <v>31</v>
      </c>
      <c r="M183" s="6"/>
    </row>
    <row r="184" spans="1:15" hidden="1" outlineLevel="1" x14ac:dyDescent="0.2">
      <c r="A184" s="93">
        <v>34578</v>
      </c>
      <c r="B184" s="86">
        <f t="shared" si="33"/>
        <v>7289</v>
      </c>
      <c r="C184" s="86">
        <v>8216</v>
      </c>
      <c r="D184" s="86">
        <v>-927</v>
      </c>
      <c r="E184" s="92">
        <f>(D184/G183*100)</f>
        <v>-2.7221684412053024</v>
      </c>
      <c r="F184" s="86">
        <f>(G184-G183)-D184</f>
        <v>872.97300000000541</v>
      </c>
      <c r="G184" s="86">
        <v>33999.707000000002</v>
      </c>
      <c r="I184" s="1" t="s">
        <v>50</v>
      </c>
      <c r="J184" s="1" t="s">
        <v>51</v>
      </c>
      <c r="K184" s="1" t="s">
        <v>31</v>
      </c>
      <c r="M184" s="6"/>
    </row>
    <row r="185" spans="1:15" hidden="1" outlineLevel="1" x14ac:dyDescent="0.2">
      <c r="A185" s="93">
        <v>34608</v>
      </c>
      <c r="B185" s="86">
        <f t="shared" si="33"/>
        <v>7659.26</v>
      </c>
      <c r="C185" s="86">
        <v>7922</v>
      </c>
      <c r="D185" s="86">
        <v>-262.74</v>
      </c>
      <c r="E185" s="92">
        <f>(D185/G184*100)</f>
        <v>-0.77277136535323665</v>
      </c>
      <c r="F185" s="86">
        <f>(G185-G184)-D185</f>
        <v>993.89699999999925</v>
      </c>
      <c r="G185" s="86">
        <v>34730.864000000001</v>
      </c>
      <c r="I185" s="1" t="s">
        <v>50</v>
      </c>
      <c r="J185" s="1" t="s">
        <v>51</v>
      </c>
      <c r="K185" s="1" t="s">
        <v>31</v>
      </c>
      <c r="M185" s="6"/>
    </row>
    <row r="186" spans="1:15" hidden="1" outlineLevel="1" x14ac:dyDescent="0.2">
      <c r="A186" s="93">
        <v>34639</v>
      </c>
      <c r="B186" s="86">
        <f t="shared" si="33"/>
        <v>8555.2970000000005</v>
      </c>
      <c r="C186" s="86">
        <v>8908</v>
      </c>
      <c r="D186" s="86">
        <v>-352.70299999999997</v>
      </c>
      <c r="E186" s="92">
        <f>(D186/G185*100)</f>
        <v>-1.0155318911732225</v>
      </c>
      <c r="F186" s="86">
        <f>(G186-G185)-D186</f>
        <v>1063.9109999999987</v>
      </c>
      <c r="G186" s="86">
        <v>35442.072</v>
      </c>
      <c r="I186" s="1" t="s">
        <v>50</v>
      </c>
      <c r="J186" s="1" t="s">
        <v>51</v>
      </c>
      <c r="K186" s="1" t="s">
        <v>31</v>
      </c>
      <c r="M186" s="6"/>
    </row>
    <row r="187" spans="1:15" hidden="1" outlineLevel="1" x14ac:dyDescent="0.2">
      <c r="A187" s="93">
        <v>34669</v>
      </c>
      <c r="B187" s="86">
        <f t="shared" si="33"/>
        <v>10455.285</v>
      </c>
      <c r="C187" s="86">
        <v>10208</v>
      </c>
      <c r="D187" s="86">
        <v>247.285</v>
      </c>
      <c r="E187" s="92">
        <f>(D187/G186*100)</f>
        <v>0.69771598003638158</v>
      </c>
      <c r="F187" s="86">
        <f>(G187-G186)-D187</f>
        <v>1194.5200000000002</v>
      </c>
      <c r="G187" s="86">
        <v>36883.877</v>
      </c>
      <c r="I187" s="1" t="s">
        <v>50</v>
      </c>
      <c r="J187" s="1" t="s">
        <v>51</v>
      </c>
      <c r="K187" s="1" t="s">
        <v>31</v>
      </c>
      <c r="M187" s="6"/>
    </row>
    <row r="188" spans="1:15" hidden="1" collapsed="1" x14ac:dyDescent="0.2">
      <c r="A188" s="83" t="s">
        <v>52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50</v>
      </c>
      <c r="J188" s="1" t="s">
        <v>51</v>
      </c>
      <c r="K188" s="1" t="s">
        <v>31</v>
      </c>
    </row>
    <row r="189" spans="1:15" ht="20.100000000000001" hidden="1" customHeight="1" outlineLevel="1" x14ac:dyDescent="0.2">
      <c r="A189" s="93">
        <v>34700</v>
      </c>
      <c r="B189" s="86">
        <f t="shared" ref="B189:B200" si="34">(C189+D189)</f>
        <v>12179.726000000001</v>
      </c>
      <c r="C189" s="86">
        <v>12767</v>
      </c>
      <c r="D189" s="86">
        <v>-587.274</v>
      </c>
      <c r="E189" s="92">
        <v>-1.55</v>
      </c>
      <c r="F189" s="86">
        <f>(G189-G187)-D189</f>
        <v>1040.1879999999969</v>
      </c>
      <c r="G189" s="86">
        <v>37336.790999999997</v>
      </c>
      <c r="I189" s="1" t="s">
        <v>50</v>
      </c>
      <c r="J189" s="1" t="s">
        <v>51</v>
      </c>
      <c r="K189" s="1" t="s">
        <v>31</v>
      </c>
      <c r="M189" s="6"/>
    </row>
    <row r="190" spans="1:15" hidden="1" outlineLevel="1" x14ac:dyDescent="0.2">
      <c r="A190" s="93">
        <v>34731</v>
      </c>
      <c r="B190" s="86">
        <f t="shared" si="34"/>
        <v>9131.4310000000005</v>
      </c>
      <c r="C190" s="86">
        <v>9633</v>
      </c>
      <c r="D190" s="86">
        <v>-501.56900000000002</v>
      </c>
      <c r="E190" s="92">
        <f t="shared" ref="E190:E200" si="35">(D190/G189*100)</f>
        <v>-1.3433639757632092</v>
      </c>
      <c r="F190" s="86">
        <f t="shared" ref="F190:F200" si="36">(G190-G189)-D190</f>
        <v>915.58199999999897</v>
      </c>
      <c r="G190" s="86">
        <v>37750.803999999996</v>
      </c>
      <c r="I190" s="1" t="s">
        <v>50</v>
      </c>
      <c r="J190" s="1" t="s">
        <v>51</v>
      </c>
      <c r="K190" s="1" t="s">
        <v>31</v>
      </c>
      <c r="M190" s="6"/>
    </row>
    <row r="191" spans="1:15" hidden="1" outlineLevel="1" x14ac:dyDescent="0.2">
      <c r="A191" s="93">
        <v>34759</v>
      </c>
      <c r="B191" s="86">
        <f t="shared" si="34"/>
        <v>11941.475</v>
      </c>
      <c r="C191" s="86">
        <v>12321</v>
      </c>
      <c r="D191" s="86">
        <v>-379.52499999999998</v>
      </c>
      <c r="E191" s="92">
        <f t="shared" si="35"/>
        <v>-1.0053428266057591</v>
      </c>
      <c r="F191" s="86">
        <f t="shared" si="36"/>
        <v>890.13000000000318</v>
      </c>
      <c r="G191" s="86">
        <v>38261.409</v>
      </c>
      <c r="I191" s="1" t="s">
        <v>50</v>
      </c>
      <c r="J191" s="1" t="s">
        <v>51</v>
      </c>
      <c r="K191" s="1" t="s">
        <v>31</v>
      </c>
      <c r="M191" s="6"/>
    </row>
    <row r="192" spans="1:15" hidden="1" outlineLevel="1" x14ac:dyDescent="0.2">
      <c r="A192" s="93">
        <v>34790</v>
      </c>
      <c r="B192" s="86">
        <f t="shared" si="34"/>
        <v>10310.123</v>
      </c>
      <c r="C192" s="86">
        <v>9977</v>
      </c>
      <c r="D192" s="86">
        <v>333.12299999999999</v>
      </c>
      <c r="E192" s="92">
        <f t="shared" si="35"/>
        <v>0.87065011118644375</v>
      </c>
      <c r="F192" s="86">
        <f t="shared" si="36"/>
        <v>1397.3219999999997</v>
      </c>
      <c r="G192" s="86">
        <v>39991.853999999999</v>
      </c>
      <c r="I192" s="1" t="s">
        <v>50</v>
      </c>
      <c r="J192" s="1" t="s">
        <v>51</v>
      </c>
      <c r="K192" s="1" t="s">
        <v>31</v>
      </c>
      <c r="M192" s="6"/>
    </row>
    <row r="193" spans="1:13" hidden="1" outlineLevel="1" x14ac:dyDescent="0.2">
      <c r="A193" s="93">
        <v>34820</v>
      </c>
      <c r="B193" s="86">
        <f t="shared" si="34"/>
        <v>11959.101000000001</v>
      </c>
      <c r="C193" s="86">
        <v>11573</v>
      </c>
      <c r="D193" s="86">
        <v>386.101</v>
      </c>
      <c r="E193" s="92">
        <f t="shared" si="35"/>
        <v>0.96544911371200748</v>
      </c>
      <c r="F193" s="86">
        <f t="shared" si="36"/>
        <v>1479.8120000000004</v>
      </c>
      <c r="G193" s="86">
        <v>41857.767</v>
      </c>
      <c r="I193" s="1" t="s">
        <v>50</v>
      </c>
      <c r="J193" s="1" t="s">
        <v>51</v>
      </c>
      <c r="K193" s="1" t="s">
        <v>31</v>
      </c>
      <c r="M193" s="6"/>
    </row>
    <row r="194" spans="1:13" hidden="1" outlineLevel="1" x14ac:dyDescent="0.2">
      <c r="A194" s="93">
        <v>34851</v>
      </c>
      <c r="B194" s="86">
        <f t="shared" si="34"/>
        <v>11586.999</v>
      </c>
      <c r="C194" s="86">
        <v>11239</v>
      </c>
      <c r="D194" s="86">
        <v>347.99900000000002</v>
      </c>
      <c r="E194" s="92">
        <f t="shared" si="35"/>
        <v>0.8313845313344117</v>
      </c>
      <c r="F194" s="86">
        <f t="shared" si="36"/>
        <v>1459.5629999999981</v>
      </c>
      <c r="G194" s="86">
        <v>43665.328999999998</v>
      </c>
      <c r="I194" s="1" t="s">
        <v>50</v>
      </c>
      <c r="J194" s="1" t="s">
        <v>51</v>
      </c>
      <c r="K194" s="1" t="s">
        <v>31</v>
      </c>
      <c r="M194" s="6"/>
    </row>
    <row r="195" spans="1:13" hidden="1" outlineLevel="1" x14ac:dyDescent="0.2">
      <c r="A195" s="93">
        <v>34881</v>
      </c>
      <c r="B195" s="86">
        <f t="shared" si="34"/>
        <v>11205.583000000001</v>
      </c>
      <c r="C195" s="86">
        <v>10900</v>
      </c>
      <c r="D195" s="86">
        <v>305.58300000000003</v>
      </c>
      <c r="E195" s="92">
        <f t="shared" si="35"/>
        <v>0.69982983524525844</v>
      </c>
      <c r="F195" s="86">
        <f t="shared" si="36"/>
        <v>1448.1350000000007</v>
      </c>
      <c r="G195" s="86">
        <v>45419.046999999999</v>
      </c>
      <c r="I195" s="1" t="s">
        <v>50</v>
      </c>
      <c r="J195" s="1" t="s">
        <v>51</v>
      </c>
      <c r="K195" s="1" t="s">
        <v>31</v>
      </c>
      <c r="M195" s="6"/>
    </row>
    <row r="196" spans="1:13" hidden="1" outlineLevel="1" x14ac:dyDescent="0.2">
      <c r="A196" s="93">
        <v>34912</v>
      </c>
      <c r="B196" s="86">
        <f t="shared" si="34"/>
        <v>12298.207</v>
      </c>
      <c r="C196" s="86">
        <v>12496</v>
      </c>
      <c r="D196" s="86">
        <v>-197.79300000000001</v>
      </c>
      <c r="E196" s="92">
        <f t="shared" si="35"/>
        <v>-0.43548469874323875</v>
      </c>
      <c r="F196" s="86">
        <f t="shared" si="36"/>
        <v>1539.9989999999984</v>
      </c>
      <c r="G196" s="86">
        <v>46761.252999999997</v>
      </c>
      <c r="I196" s="1" t="s">
        <v>50</v>
      </c>
      <c r="J196" s="1" t="s">
        <v>51</v>
      </c>
      <c r="K196" s="1" t="s">
        <v>31</v>
      </c>
      <c r="M196" s="6"/>
    </row>
    <row r="197" spans="1:13" hidden="1" outlineLevel="1" x14ac:dyDescent="0.2">
      <c r="A197" s="93">
        <v>34943</v>
      </c>
      <c r="B197" s="86">
        <f t="shared" si="34"/>
        <v>11006.462</v>
      </c>
      <c r="C197" s="86">
        <v>12203</v>
      </c>
      <c r="D197" s="86">
        <v>-1196.538</v>
      </c>
      <c r="E197" s="92">
        <f t="shared" si="35"/>
        <v>-2.5588236482884668</v>
      </c>
      <c r="F197" s="86">
        <f t="shared" si="36"/>
        <v>1255.3409999999999</v>
      </c>
      <c r="G197" s="86">
        <v>46820.055999999997</v>
      </c>
      <c r="I197" s="1" t="s">
        <v>50</v>
      </c>
      <c r="J197" s="1" t="s">
        <v>51</v>
      </c>
      <c r="K197" s="1" t="s">
        <v>31</v>
      </c>
      <c r="M197" s="6"/>
    </row>
    <row r="198" spans="1:13" hidden="1" outlineLevel="1" x14ac:dyDescent="0.2">
      <c r="A198" s="93">
        <v>34973</v>
      </c>
      <c r="B198" s="86">
        <f t="shared" si="34"/>
        <v>11867.75</v>
      </c>
      <c r="C198" s="86">
        <v>12317</v>
      </c>
      <c r="D198" s="86">
        <v>-449.25</v>
      </c>
      <c r="E198" s="92">
        <f t="shared" si="35"/>
        <v>-0.95952469599780066</v>
      </c>
      <c r="F198" s="86">
        <f t="shared" si="36"/>
        <v>1068.4310000000041</v>
      </c>
      <c r="G198" s="86">
        <v>47439.237000000001</v>
      </c>
      <c r="I198" s="1" t="s">
        <v>50</v>
      </c>
      <c r="J198" s="1" t="s">
        <v>51</v>
      </c>
      <c r="K198" s="1" t="s">
        <v>31</v>
      </c>
      <c r="M198" s="6"/>
    </row>
    <row r="199" spans="1:13" hidden="1" outlineLevel="1" x14ac:dyDescent="0.2">
      <c r="A199" s="93">
        <v>35004</v>
      </c>
      <c r="B199" s="86">
        <f t="shared" si="34"/>
        <v>12332.75</v>
      </c>
      <c r="C199" s="86">
        <v>12760</v>
      </c>
      <c r="D199" s="86">
        <v>-427.25</v>
      </c>
      <c r="E199" s="92">
        <f t="shared" si="35"/>
        <v>-0.90062578367354429</v>
      </c>
      <c r="F199" s="86">
        <f t="shared" si="36"/>
        <v>903.05299999999988</v>
      </c>
      <c r="G199" s="86">
        <v>47915.040000000001</v>
      </c>
      <c r="I199" s="1" t="s">
        <v>50</v>
      </c>
      <c r="J199" s="1" t="s">
        <v>51</v>
      </c>
      <c r="K199" s="1" t="s">
        <v>31</v>
      </c>
      <c r="M199" s="6"/>
    </row>
    <row r="200" spans="1:13" hidden="1" outlineLevel="1" x14ac:dyDescent="0.2">
      <c r="A200" s="93">
        <v>35034</v>
      </c>
      <c r="B200" s="86">
        <f t="shared" si="34"/>
        <v>15656.993</v>
      </c>
      <c r="C200" s="86">
        <v>13129</v>
      </c>
      <c r="D200" s="86">
        <v>2527.9929999999999</v>
      </c>
      <c r="E200" s="92">
        <f t="shared" si="35"/>
        <v>5.2759905866717425</v>
      </c>
      <c r="F200" s="86">
        <f t="shared" si="36"/>
        <v>919.37899999999581</v>
      </c>
      <c r="G200" s="86">
        <v>51362.411999999997</v>
      </c>
      <c r="I200" s="1" t="s">
        <v>50</v>
      </c>
      <c r="J200" s="1" t="s">
        <v>51</v>
      </c>
      <c r="K200" s="1" t="s">
        <v>31</v>
      </c>
      <c r="M200" s="6"/>
    </row>
    <row r="201" spans="1:13" hidden="1" collapsed="1" x14ac:dyDescent="0.2">
      <c r="A201" s="83" t="s">
        <v>53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50</v>
      </c>
      <c r="J201" s="1" t="s">
        <v>51</v>
      </c>
      <c r="K201" s="1" t="s">
        <v>31</v>
      </c>
    </row>
    <row r="202" spans="1:13" ht="20.100000000000001" hidden="1" customHeight="1" outlineLevel="1" x14ac:dyDescent="0.2">
      <c r="A202" s="93">
        <v>35065</v>
      </c>
      <c r="B202" s="86">
        <f t="shared" ref="B202:B212" si="37">(C202+D202)</f>
        <v>13652.092000000001</v>
      </c>
      <c r="C202" s="86">
        <v>14128</v>
      </c>
      <c r="D202" s="86">
        <v>-475.90800000000002</v>
      </c>
      <c r="E202" s="92">
        <f>(D202/G200*100)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50</v>
      </c>
      <c r="J202" s="1" t="s">
        <v>51</v>
      </c>
      <c r="K202" s="1" t="s">
        <v>31</v>
      </c>
    </row>
    <row r="203" spans="1:13" hidden="1" outlineLevel="1" x14ac:dyDescent="0.2">
      <c r="A203" s="93">
        <v>35096</v>
      </c>
      <c r="B203" s="86">
        <f t="shared" si="37"/>
        <v>12308.675999999999</v>
      </c>
      <c r="C203" s="86">
        <v>11963</v>
      </c>
      <c r="D203" s="86">
        <v>345.67599999999999</v>
      </c>
      <c r="E203" s="92">
        <f t="shared" ref="E203:E213" si="38">(D203/G202*100)</f>
        <v>0.66827876671987363</v>
      </c>
      <c r="F203" s="86">
        <f t="shared" ref="F203:F213" si="39">(G203-G202)-D203</f>
        <v>165.00600000000071</v>
      </c>
      <c r="G203" s="86">
        <v>52237</v>
      </c>
      <c r="H203" s="6"/>
      <c r="I203" s="1" t="s">
        <v>50</v>
      </c>
      <c r="J203" s="1" t="s">
        <v>51</v>
      </c>
      <c r="K203" s="1" t="s">
        <v>31</v>
      </c>
      <c r="M203" s="6"/>
    </row>
    <row r="204" spans="1:13" hidden="1" outlineLevel="1" x14ac:dyDescent="0.2">
      <c r="A204" s="93">
        <v>35125</v>
      </c>
      <c r="B204" s="86">
        <f t="shared" si="37"/>
        <v>13579.571</v>
      </c>
      <c r="C204" s="86">
        <v>12938</v>
      </c>
      <c r="D204" s="86">
        <v>641.57100000000003</v>
      </c>
      <c r="E204" s="92">
        <f t="shared" si="38"/>
        <v>1.2281926603748301</v>
      </c>
      <c r="F204" s="86">
        <f t="shared" si="39"/>
        <v>-604.57100000000003</v>
      </c>
      <c r="G204" s="86">
        <v>52274</v>
      </c>
      <c r="H204" s="6"/>
      <c r="I204" s="1" t="s">
        <v>50</v>
      </c>
      <c r="J204" s="1" t="s">
        <v>51</v>
      </c>
      <c r="K204" s="1" t="s">
        <v>31</v>
      </c>
      <c r="M204" s="6"/>
    </row>
    <row r="205" spans="1:13" hidden="1" outlineLevel="1" x14ac:dyDescent="0.2">
      <c r="A205" s="93">
        <v>35156</v>
      </c>
      <c r="B205" s="86">
        <f t="shared" si="37"/>
        <v>12720.308000000001</v>
      </c>
      <c r="C205" s="86">
        <v>13301</v>
      </c>
      <c r="D205" s="86">
        <v>-580.69200000000001</v>
      </c>
      <c r="E205" s="92">
        <f t="shared" si="38"/>
        <v>-1.110861996403566</v>
      </c>
      <c r="F205" s="86">
        <f t="shared" si="39"/>
        <v>648.55299999999716</v>
      </c>
      <c r="G205" s="86">
        <v>52341.860999999997</v>
      </c>
      <c r="H205" s="6"/>
      <c r="I205" s="1" t="s">
        <v>50</v>
      </c>
      <c r="J205" s="1" t="s">
        <v>51</v>
      </c>
      <c r="K205" s="1" t="s">
        <v>31</v>
      </c>
      <c r="M205" s="6"/>
    </row>
    <row r="206" spans="1:13" hidden="1" outlineLevel="1" x14ac:dyDescent="0.2">
      <c r="A206" s="93">
        <v>35186</v>
      </c>
      <c r="B206" s="86">
        <f t="shared" si="37"/>
        <v>13308.028</v>
      </c>
      <c r="C206" s="86">
        <v>14087</v>
      </c>
      <c r="D206" s="86">
        <v>-778.97199999999998</v>
      </c>
      <c r="E206" s="92">
        <f t="shared" si="38"/>
        <v>-1.4882390215357457</v>
      </c>
      <c r="F206" s="86">
        <f t="shared" si="39"/>
        <v>551.08000000000015</v>
      </c>
      <c r="G206" s="86">
        <v>52113.968999999997</v>
      </c>
      <c r="H206" s="6"/>
      <c r="I206" s="1" t="s">
        <v>50</v>
      </c>
      <c r="J206" s="1" t="s">
        <v>51</v>
      </c>
      <c r="K206" s="1" t="s">
        <v>31</v>
      </c>
      <c r="M206" s="6"/>
    </row>
    <row r="207" spans="1:13" hidden="1" outlineLevel="1" x14ac:dyDescent="0.2">
      <c r="A207" s="93">
        <v>35217</v>
      </c>
      <c r="B207" s="86">
        <f t="shared" si="37"/>
        <v>13252.344999999999</v>
      </c>
      <c r="C207" s="86">
        <v>13940</v>
      </c>
      <c r="D207" s="86">
        <v>-687.65499999999997</v>
      </c>
      <c r="E207" s="92">
        <f t="shared" si="38"/>
        <v>-1.3195214511487312</v>
      </c>
      <c r="F207" s="86">
        <f t="shared" si="39"/>
        <v>577.52599999999916</v>
      </c>
      <c r="G207" s="86">
        <v>52003.839999999997</v>
      </c>
      <c r="H207" s="6"/>
      <c r="I207" s="1" t="s">
        <v>50</v>
      </c>
      <c r="J207" s="1" t="s">
        <v>51</v>
      </c>
      <c r="K207" s="1" t="s">
        <v>31</v>
      </c>
      <c r="M207" s="6"/>
    </row>
    <row r="208" spans="1:13" hidden="1" outlineLevel="1" x14ac:dyDescent="0.2">
      <c r="A208" s="93">
        <v>35247</v>
      </c>
      <c r="B208" s="86">
        <f t="shared" si="37"/>
        <v>18608.154999999999</v>
      </c>
      <c r="C208" s="86">
        <v>19175</v>
      </c>
      <c r="D208" s="86">
        <v>-566.84500000000003</v>
      </c>
      <c r="E208" s="92">
        <f t="shared" si="38"/>
        <v>-1.0900060457073941</v>
      </c>
      <c r="F208" s="86">
        <f t="shared" si="39"/>
        <v>543.34900000000084</v>
      </c>
      <c r="G208" s="86">
        <v>51980.343999999997</v>
      </c>
      <c r="H208" s="6"/>
      <c r="I208" s="1" t="s">
        <v>50</v>
      </c>
      <c r="J208" s="1" t="s">
        <v>51</v>
      </c>
      <c r="K208" s="1" t="s">
        <v>31</v>
      </c>
      <c r="M208" s="6"/>
    </row>
    <row r="209" spans="1:13" hidden="1" outlineLevel="1" x14ac:dyDescent="0.2">
      <c r="A209" s="93">
        <v>35278</v>
      </c>
      <c r="B209" s="86">
        <f t="shared" si="37"/>
        <v>13953.704</v>
      </c>
      <c r="C209" s="86">
        <v>14383</v>
      </c>
      <c r="D209" s="86">
        <v>-429.29599999999999</v>
      </c>
      <c r="E209" s="92">
        <f t="shared" si="38"/>
        <v>-0.82588141394370151</v>
      </c>
      <c r="F209" s="86">
        <f t="shared" si="39"/>
        <v>517.86599999999976</v>
      </c>
      <c r="G209" s="86">
        <v>52068.913999999997</v>
      </c>
      <c r="H209" s="6"/>
      <c r="I209" s="1" t="s">
        <v>50</v>
      </c>
      <c r="J209" s="1" t="s">
        <v>51</v>
      </c>
      <c r="K209" s="1" t="s">
        <v>31</v>
      </c>
      <c r="M209" s="6"/>
    </row>
    <row r="210" spans="1:13" hidden="1" outlineLevel="1" x14ac:dyDescent="0.2">
      <c r="A210" s="93">
        <v>35309</v>
      </c>
      <c r="B210" s="86">
        <f t="shared" si="37"/>
        <v>14341.117</v>
      </c>
      <c r="C210" s="86">
        <v>14402</v>
      </c>
      <c r="D210" s="86">
        <v>-60.883000000000003</v>
      </c>
      <c r="E210" s="92">
        <f t="shared" si="38"/>
        <v>-0.11692773158280198</v>
      </c>
      <c r="F210" s="86">
        <f t="shared" si="39"/>
        <v>589.11399999999981</v>
      </c>
      <c r="G210" s="86">
        <v>52597.144999999997</v>
      </c>
      <c r="H210" s="6"/>
      <c r="I210" s="1" t="s">
        <v>50</v>
      </c>
      <c r="J210" s="1" t="s">
        <v>51</v>
      </c>
      <c r="K210" s="1" t="s">
        <v>31</v>
      </c>
      <c r="M210" s="6"/>
    </row>
    <row r="211" spans="1:13" hidden="1" outlineLevel="1" x14ac:dyDescent="0.2">
      <c r="A211" s="93">
        <v>35339</v>
      </c>
      <c r="B211" s="86">
        <f t="shared" si="37"/>
        <v>15044.358</v>
      </c>
      <c r="C211" s="86">
        <v>14779</v>
      </c>
      <c r="D211" s="86">
        <v>265.358</v>
      </c>
      <c r="E211" s="92">
        <f t="shared" si="38"/>
        <v>0.50451027332377074</v>
      </c>
      <c r="F211" s="86">
        <f t="shared" si="39"/>
        <v>552.5970000000018</v>
      </c>
      <c r="G211" s="86">
        <v>53415.1</v>
      </c>
      <c r="H211" s="6"/>
      <c r="I211" s="1" t="s">
        <v>50</v>
      </c>
      <c r="J211" s="1" t="s">
        <v>51</v>
      </c>
      <c r="K211" s="1" t="s">
        <v>31</v>
      </c>
      <c r="M211" s="6"/>
    </row>
    <row r="212" spans="1:13" hidden="1" outlineLevel="1" x14ac:dyDescent="0.2">
      <c r="A212" s="93">
        <v>35370</v>
      </c>
      <c r="B212" s="86">
        <f t="shared" si="37"/>
        <v>14811.858</v>
      </c>
      <c r="C212" s="86">
        <v>13824</v>
      </c>
      <c r="D212" s="86">
        <v>987.85799999999995</v>
      </c>
      <c r="E212" s="92">
        <f t="shared" si="38"/>
        <v>1.8493983910916576</v>
      </c>
      <c r="F212" s="86">
        <f t="shared" si="39"/>
        <v>635.61899999999901</v>
      </c>
      <c r="G212" s="86">
        <v>55038.576999999997</v>
      </c>
      <c r="H212" s="6"/>
      <c r="I212" s="1" t="s">
        <v>50</v>
      </c>
      <c r="J212" s="1" t="s">
        <v>51</v>
      </c>
      <c r="K212" s="1" t="s">
        <v>31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8"/>
        <v>6.6962014661098523</v>
      </c>
      <c r="F213" s="86">
        <f t="shared" si="39"/>
        <v>694.62600000000248</v>
      </c>
      <c r="G213" s="86">
        <v>59418.697</v>
      </c>
      <c r="H213" s="6"/>
      <c r="I213" s="1" t="s">
        <v>50</v>
      </c>
      <c r="J213" s="1" t="s">
        <v>51</v>
      </c>
      <c r="K213" s="1" t="s">
        <v>31</v>
      </c>
      <c r="M213" s="6"/>
    </row>
    <row r="214" spans="1:13" hidden="1" collapsed="1" x14ac:dyDescent="0.2">
      <c r="A214" s="83" t="s">
        <v>54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50</v>
      </c>
      <c r="J214" s="1" t="s">
        <v>51</v>
      </c>
      <c r="K214" s="1" t="s">
        <v>31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>(D215/G213*100)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50</v>
      </c>
      <c r="J215" s="1" t="s">
        <v>51</v>
      </c>
      <c r="K215" s="1" t="s">
        <v>31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ref="E216:E226" si="40">(D216/G215*100)</f>
        <v>0.97194621455303476</v>
      </c>
      <c r="F216" s="86">
        <f t="shared" ref="F216:F226" si="41">(G216-G215)-D216</f>
        <v>739.56200000000297</v>
      </c>
      <c r="G216" s="86">
        <v>64476.332000000002</v>
      </c>
      <c r="H216" s="6"/>
      <c r="I216" s="1" t="s">
        <v>50</v>
      </c>
      <c r="J216" s="1" t="s">
        <v>51</v>
      </c>
      <c r="K216" s="1" t="s">
        <v>31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40"/>
        <v>0.49308791325164092</v>
      </c>
      <c r="F217" s="86">
        <f t="shared" si="41"/>
        <v>753.05900000000406</v>
      </c>
      <c r="G217" s="86">
        <v>65547.316000000006</v>
      </c>
      <c r="H217" s="6"/>
      <c r="I217" s="1" t="s">
        <v>50</v>
      </c>
      <c r="J217" s="1" t="s">
        <v>51</v>
      </c>
      <c r="K217" s="1" t="s">
        <v>31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40"/>
        <v>-4.8345228964066199E-2</v>
      </c>
      <c r="F218" s="86">
        <f t="shared" si="41"/>
        <v>716.87999999999158</v>
      </c>
      <c r="G218" s="86">
        <v>66232.506999999998</v>
      </c>
      <c r="H218" s="6"/>
      <c r="I218" s="1" t="s">
        <v>50</v>
      </c>
      <c r="J218" s="1" t="s">
        <v>51</v>
      </c>
      <c r="K218" s="1" t="s">
        <v>31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40"/>
        <v>0.10026798472236602</v>
      </c>
      <c r="F219" s="86">
        <f t="shared" si="41"/>
        <v>685.27700000000539</v>
      </c>
      <c r="G219" s="86">
        <v>66984.194000000003</v>
      </c>
      <c r="H219" s="6"/>
      <c r="I219" s="1" t="s">
        <v>50</v>
      </c>
      <c r="J219" s="1" t="s">
        <v>51</v>
      </c>
      <c r="K219" s="1" t="s">
        <v>31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40"/>
        <v>0.48953936804852799</v>
      </c>
      <c r="F220" s="86">
        <f t="shared" si="41"/>
        <v>760.58600000000001</v>
      </c>
      <c r="G220" s="86">
        <v>68072.694000000003</v>
      </c>
      <c r="H220" s="6"/>
      <c r="I220" s="1" t="s">
        <v>50</v>
      </c>
      <c r="J220" s="1" t="s">
        <v>51</v>
      </c>
      <c r="K220" s="1" t="s">
        <v>31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40"/>
        <v>-0.27440371318343887</v>
      </c>
      <c r="F221" s="86">
        <f t="shared" si="41"/>
        <v>720.60199999998997</v>
      </c>
      <c r="G221" s="86">
        <v>68606.501999999993</v>
      </c>
      <c r="H221" s="6"/>
      <c r="I221" s="1" t="s">
        <v>50</v>
      </c>
      <c r="J221" s="1" t="s">
        <v>51</v>
      </c>
      <c r="K221" s="1" t="s">
        <v>31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40"/>
        <v>0.65632992044981409</v>
      </c>
      <c r="F222" s="86">
        <f t="shared" si="41"/>
        <v>746.39200000001051</v>
      </c>
      <c r="G222" s="86">
        <v>69803.179000000004</v>
      </c>
      <c r="H222" s="6"/>
      <c r="I222" s="1" t="s">
        <v>50</v>
      </c>
      <c r="J222" s="1" t="s">
        <v>51</v>
      </c>
      <c r="K222" s="1" t="s">
        <v>31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40"/>
        <v>0.84673794011587911</v>
      </c>
      <c r="F223" s="86">
        <f t="shared" si="41"/>
        <v>778.57699999999318</v>
      </c>
      <c r="G223" s="86">
        <v>71172.805999999997</v>
      </c>
      <c r="H223" s="6"/>
      <c r="I223" s="1" t="s">
        <v>50</v>
      </c>
      <c r="J223" s="1" t="s">
        <v>51</v>
      </c>
      <c r="K223" s="1" t="s">
        <v>31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40"/>
        <v>0.72584885862164827</v>
      </c>
      <c r="F224" s="86">
        <f t="shared" si="41"/>
        <v>734.72700000000259</v>
      </c>
      <c r="G224" s="86">
        <v>72424.14</v>
      </c>
      <c r="H224" s="6"/>
      <c r="I224" s="1" t="s">
        <v>50</v>
      </c>
      <c r="J224" s="1" t="s">
        <v>51</v>
      </c>
      <c r="K224" s="1" t="s">
        <v>31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40"/>
        <v>4.8257818456663752</v>
      </c>
      <c r="F225" s="86">
        <f t="shared" si="41"/>
        <v>807.51900000000296</v>
      </c>
      <c r="G225" s="86">
        <v>76726.69</v>
      </c>
      <c r="H225" s="6"/>
      <c r="I225" s="1" t="s">
        <v>50</v>
      </c>
      <c r="J225" s="1" t="s">
        <v>51</v>
      </c>
      <c r="K225" s="1" t="s">
        <v>31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40"/>
        <v>2.5255266452912277</v>
      </c>
      <c r="F226" s="86">
        <f t="shared" si="41"/>
        <v>1585.9339999999909</v>
      </c>
      <c r="G226" s="86">
        <v>80250.376999999993</v>
      </c>
      <c r="H226" s="6"/>
      <c r="I226" s="1" t="s">
        <v>50</v>
      </c>
      <c r="J226" s="1" t="s">
        <v>51</v>
      </c>
      <c r="K226" s="1" t="s">
        <v>31</v>
      </c>
      <c r="M226" s="6"/>
    </row>
    <row r="227" spans="1:13" hidden="1" collapsed="1" x14ac:dyDescent="0.2">
      <c r="A227" s="83" t="s">
        <v>55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50</v>
      </c>
      <c r="J227" s="1" t="s">
        <v>51</v>
      </c>
      <c r="K227" s="1" t="s">
        <v>31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>(D228/G226*100)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50</v>
      </c>
      <c r="J228" s="1" t="s">
        <v>51</v>
      </c>
      <c r="K228" s="1" t="s">
        <v>31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ref="E229:E239" si="42">(D229/G228*100)</f>
        <v>-3.2848575886415916</v>
      </c>
      <c r="F229" s="86">
        <f t="shared" ref="F229:F239" si="43">(G229-G228)-D229</f>
        <v>1342.3489999999997</v>
      </c>
      <c r="G229" s="86">
        <v>80551.981</v>
      </c>
      <c r="H229" s="6"/>
      <c r="I229" s="1" t="s">
        <v>50</v>
      </c>
      <c r="J229" s="1" t="s">
        <v>51</v>
      </c>
      <c r="K229" s="1" t="s">
        <v>31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42"/>
        <v>-1.7142197905722516</v>
      </c>
      <c r="F230" s="86">
        <f t="shared" si="43"/>
        <v>711.70200000000136</v>
      </c>
      <c r="G230" s="86">
        <v>79882.845000000001</v>
      </c>
      <c r="H230" s="6"/>
      <c r="I230" s="1" t="s">
        <v>50</v>
      </c>
      <c r="J230" s="1" t="s">
        <v>51</v>
      </c>
      <c r="K230" s="1" t="s">
        <v>31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42"/>
        <v>-1.1130287109829402</v>
      </c>
      <c r="F231" s="86">
        <f t="shared" si="43"/>
        <v>852.1390000000041</v>
      </c>
      <c r="G231" s="86">
        <v>79845.865000000005</v>
      </c>
      <c r="H231" s="6"/>
      <c r="I231" s="1" t="s">
        <v>50</v>
      </c>
      <c r="J231" s="1" t="s">
        <v>51</v>
      </c>
      <c r="K231" s="1" t="s">
        <v>31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42"/>
        <v>-8.8804849192879301E-2</v>
      </c>
      <c r="F232" s="86">
        <f t="shared" si="43"/>
        <v>396.1719999999994</v>
      </c>
      <c r="G232" s="86">
        <v>80171.13</v>
      </c>
      <c r="H232" s="6"/>
      <c r="I232" s="1" t="s">
        <v>50</v>
      </c>
      <c r="J232" s="1" t="s">
        <v>51</v>
      </c>
      <c r="K232" s="1" t="s">
        <v>31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42"/>
        <v>0.81430684586833191</v>
      </c>
      <c r="F233" s="86">
        <f t="shared" si="43"/>
        <v>657.31899999999575</v>
      </c>
      <c r="G233" s="86">
        <v>81481.288</v>
      </c>
      <c r="H233" s="6"/>
      <c r="I233" s="1" t="s">
        <v>50</v>
      </c>
      <c r="J233" s="1" t="s">
        <v>51</v>
      </c>
      <c r="K233" s="1" t="s">
        <v>31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42"/>
        <v>0.55086267168481673</v>
      </c>
      <c r="F234" s="86">
        <f t="shared" si="43"/>
        <v>733.88699999999369</v>
      </c>
      <c r="G234" s="86">
        <v>82664.024999999994</v>
      </c>
      <c r="H234" s="6"/>
      <c r="I234" s="1" t="s">
        <v>50</v>
      </c>
      <c r="J234" s="1" t="s">
        <v>51</v>
      </c>
      <c r="K234" s="1" t="s">
        <v>31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42"/>
        <v>0.32719190724139074</v>
      </c>
      <c r="F235" s="86">
        <f t="shared" si="43"/>
        <v>749.54099999999858</v>
      </c>
      <c r="G235" s="86">
        <v>83684.035999999993</v>
      </c>
      <c r="H235" s="6"/>
      <c r="I235" s="1" t="s">
        <v>50</v>
      </c>
      <c r="J235" s="1" t="s">
        <v>51</v>
      </c>
      <c r="K235" s="1" t="s">
        <v>31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42"/>
        <v>0.58531713264881258</v>
      </c>
      <c r="F236" s="86">
        <f t="shared" si="43"/>
        <v>733.67800000000989</v>
      </c>
      <c r="G236" s="86">
        <v>84907.531000000003</v>
      </c>
      <c r="H236" s="6"/>
      <c r="I236" s="1" t="s">
        <v>50</v>
      </c>
      <c r="J236" s="1" t="s">
        <v>51</v>
      </c>
      <c r="K236" s="1" t="s">
        <v>31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42"/>
        <v>-0.14712358082818353</v>
      </c>
      <c r="F237" s="86">
        <f t="shared" si="43"/>
        <v>1188.0919999999953</v>
      </c>
      <c r="G237" s="86">
        <v>85970.703999999998</v>
      </c>
      <c r="H237" s="6"/>
      <c r="I237" s="1" t="s">
        <v>50</v>
      </c>
      <c r="J237" s="1" t="s">
        <v>51</v>
      </c>
      <c r="K237" s="1" t="s">
        <v>31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42"/>
        <v>0.15517379036468051</v>
      </c>
      <c r="F238" s="86">
        <f t="shared" si="43"/>
        <v>1171.6000000000008</v>
      </c>
      <c r="G238" s="86">
        <v>87275.707999999999</v>
      </c>
      <c r="H238" s="6"/>
      <c r="I238" s="1" t="s">
        <v>50</v>
      </c>
      <c r="J238" s="1" t="s">
        <v>51</v>
      </c>
      <c r="K238" s="1" t="s">
        <v>31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42"/>
        <v>0.47373548662590054</v>
      </c>
      <c r="F239" s="86">
        <f t="shared" si="43"/>
        <v>849.18500000000324</v>
      </c>
      <c r="G239" s="86">
        <v>88538.349000000002</v>
      </c>
      <c r="H239" s="6"/>
      <c r="I239" s="1" t="s">
        <v>50</v>
      </c>
      <c r="J239" s="1" t="s">
        <v>51</v>
      </c>
      <c r="K239" s="1" t="s">
        <v>31</v>
      </c>
      <c r="M239" s="6"/>
    </row>
    <row r="240" spans="1:13" hidden="1" collapsed="1" x14ac:dyDescent="0.2">
      <c r="A240" s="83" t="s">
        <v>56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50</v>
      </c>
      <c r="J240" s="1" t="s">
        <v>51</v>
      </c>
      <c r="K240" s="1" t="s">
        <v>31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>(D241/G239*100)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50</v>
      </c>
      <c r="J241" s="1" t="s">
        <v>51</v>
      </c>
      <c r="K241" s="1" t="s">
        <v>31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ref="E242:E252" si="44">(D242/G241*100)</f>
        <v>-0.49698433241859669</v>
      </c>
      <c r="F242" s="86">
        <f t="shared" ref="F242:F252" si="45">(G242-G241)-D242</f>
        <v>1901.4440000000011</v>
      </c>
      <c r="G242" s="86">
        <v>90615.884000000005</v>
      </c>
      <c r="H242" s="6"/>
      <c r="I242" s="1" t="s">
        <v>50</v>
      </c>
      <c r="J242" s="1" t="s">
        <v>51</v>
      </c>
      <c r="K242" s="1" t="s">
        <v>31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4"/>
        <v>-0.89089347735105684</v>
      </c>
      <c r="F243" s="86">
        <f t="shared" si="45"/>
        <v>1094.2209999999932</v>
      </c>
      <c r="G243" s="86">
        <v>90902.813999999998</v>
      </c>
      <c r="H243" s="6"/>
      <c r="I243" s="1" t="s">
        <v>50</v>
      </c>
      <c r="J243" s="1" t="s">
        <v>51</v>
      </c>
      <c r="K243" s="1" t="s">
        <v>31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4"/>
        <v>-1.0616580032384917</v>
      </c>
      <c r="F244" s="86">
        <f t="shared" si="45"/>
        <v>1151.8540000000019</v>
      </c>
      <c r="G244" s="86">
        <v>91089.591</v>
      </c>
      <c r="H244" s="6"/>
      <c r="I244" s="1" t="s">
        <v>50</v>
      </c>
      <c r="J244" s="1" t="s">
        <v>51</v>
      </c>
      <c r="K244" s="1" t="s">
        <v>31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4"/>
        <v>-0.27417512501510738</v>
      </c>
      <c r="F245" s="86">
        <f t="shared" si="45"/>
        <v>953.54200000000594</v>
      </c>
      <c r="G245" s="86">
        <v>91793.388000000006</v>
      </c>
      <c r="H245" s="6"/>
      <c r="I245" s="1" t="s">
        <v>50</v>
      </c>
      <c r="J245" s="1" t="s">
        <v>51</v>
      </c>
      <c r="K245" s="1" t="s">
        <v>31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4"/>
        <v>-1.4733305191872861</v>
      </c>
      <c r="F246" s="86">
        <f t="shared" si="45"/>
        <v>757.73399999999856</v>
      </c>
      <c r="G246" s="86">
        <v>91198.702000000005</v>
      </c>
      <c r="H246" s="6"/>
      <c r="I246" s="1" t="s">
        <v>50</v>
      </c>
      <c r="J246" s="1" t="s">
        <v>51</v>
      </c>
      <c r="K246" s="1" t="s">
        <v>31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4"/>
        <v>-1.1798972752923609</v>
      </c>
      <c r="F247" s="86">
        <f t="shared" si="45"/>
        <v>689.84499999999434</v>
      </c>
      <c r="G247" s="86">
        <v>90812.495999999999</v>
      </c>
      <c r="H247" s="6"/>
      <c r="I247" s="1" t="s">
        <v>50</v>
      </c>
      <c r="J247" s="1" t="s">
        <v>51</v>
      </c>
      <c r="K247" s="1" t="s">
        <v>31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4"/>
        <v>-1.2997748679873307</v>
      </c>
      <c r="F248" s="86">
        <f t="shared" si="45"/>
        <v>699.42700000000309</v>
      </c>
      <c r="G248" s="86">
        <v>90331.565000000002</v>
      </c>
      <c r="H248" s="6"/>
      <c r="I248" s="1" t="s">
        <v>50</v>
      </c>
      <c r="J248" s="1" t="s">
        <v>51</v>
      </c>
      <c r="K248" s="1" t="s">
        <v>31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4"/>
        <v>-1.4172056024934363</v>
      </c>
      <c r="F249" s="86">
        <f t="shared" si="45"/>
        <v>658.97099999999659</v>
      </c>
      <c r="G249" s="86">
        <v>89710.351999999999</v>
      </c>
      <c r="H249" s="6"/>
      <c r="I249" s="1" t="s">
        <v>50</v>
      </c>
      <c r="J249" s="1" t="s">
        <v>51</v>
      </c>
      <c r="K249" s="1" t="s">
        <v>31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4"/>
        <v>-1.1214001255953159</v>
      </c>
      <c r="F250" s="86">
        <f t="shared" si="45"/>
        <v>946.03900000000181</v>
      </c>
      <c r="G250" s="86">
        <v>89650.379000000001</v>
      </c>
      <c r="H250" s="6"/>
      <c r="I250" s="1" t="s">
        <v>50</v>
      </c>
      <c r="J250" s="1" t="s">
        <v>51</v>
      </c>
      <c r="K250" s="1" t="s">
        <v>31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4"/>
        <v>-0.29046949148982404</v>
      </c>
      <c r="F251" s="86">
        <f t="shared" si="45"/>
        <v>255.93599999999498</v>
      </c>
      <c r="G251" s="86">
        <v>89645.907999999996</v>
      </c>
      <c r="H251" s="6"/>
      <c r="I251" s="1" t="s">
        <v>50</v>
      </c>
      <c r="J251" s="1" t="s">
        <v>51</v>
      </c>
      <c r="K251" s="1" t="s">
        <v>31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4"/>
        <v>0.20280568746093797</v>
      </c>
      <c r="F252" s="86">
        <f t="shared" si="45"/>
        <v>610.02500000000941</v>
      </c>
      <c r="G252" s="86">
        <v>90437.74</v>
      </c>
      <c r="H252" s="6"/>
      <c r="I252" s="1" t="s">
        <v>50</v>
      </c>
      <c r="J252" s="1" t="s">
        <v>51</v>
      </c>
      <c r="K252" s="1" t="s">
        <v>31</v>
      </c>
      <c r="M252" s="6"/>
    </row>
    <row r="253" spans="1:13" hidden="1" collapsed="1" x14ac:dyDescent="0.2">
      <c r="A253" s="83" t="s">
        <v>57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50</v>
      </c>
      <c r="J253" s="1" t="s">
        <v>51</v>
      </c>
      <c r="K253" s="1" t="s">
        <v>31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>(D254/G252*100)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50</v>
      </c>
      <c r="J254" s="1" t="s">
        <v>51</v>
      </c>
      <c r="K254" s="1" t="s">
        <v>31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ref="E255:E265" si="46">(D255/G254*100)</f>
        <v>-1.4174502881433948</v>
      </c>
      <c r="F255" s="86">
        <f t="shared" ref="F255:F265" si="47">(G255-G254-D255)</f>
        <v>641.87800000000448</v>
      </c>
      <c r="G255" s="86">
        <v>90817.298999999999</v>
      </c>
      <c r="H255" s="6"/>
      <c r="I255" s="1" t="s">
        <v>50</v>
      </c>
      <c r="J255" s="1" t="s">
        <v>51</v>
      </c>
      <c r="K255" s="1" t="s">
        <v>31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6"/>
        <v>-1.2893710921748509</v>
      </c>
      <c r="F256" s="86">
        <f t="shared" si="47"/>
        <v>565.13900000000126</v>
      </c>
      <c r="G256" s="86">
        <v>90211.466</v>
      </c>
      <c r="H256" s="6"/>
      <c r="I256" s="1" t="s">
        <v>50</v>
      </c>
      <c r="J256" s="1" t="s">
        <v>51</v>
      </c>
      <c r="K256" s="1" t="s">
        <v>31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6"/>
        <v>-0.97338624338507029</v>
      </c>
      <c r="F257" s="86">
        <f t="shared" si="47"/>
        <v>620.36900000000628</v>
      </c>
      <c r="G257" s="86">
        <v>89953.729000000007</v>
      </c>
      <c r="H257" s="6"/>
      <c r="I257" s="1" t="s">
        <v>50</v>
      </c>
      <c r="J257" s="1" t="s">
        <v>51</v>
      </c>
      <c r="K257" s="1" t="s">
        <v>31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6"/>
        <v>-1.1564734575928473</v>
      </c>
      <c r="F258" s="86">
        <f t="shared" si="47"/>
        <v>547.95400000000041</v>
      </c>
      <c r="G258" s="86">
        <v>89461.392000000007</v>
      </c>
      <c r="H258" s="6"/>
      <c r="I258" s="1" t="s">
        <v>50</v>
      </c>
      <c r="J258" s="1" t="s">
        <v>51</v>
      </c>
      <c r="K258" s="1" t="s">
        <v>31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6"/>
        <v>-0.47730086739540112</v>
      </c>
      <c r="F259" s="86">
        <f t="shared" si="47"/>
        <v>1030.804999999993</v>
      </c>
      <c r="G259" s="86">
        <v>90065.197</v>
      </c>
      <c r="H259" s="6"/>
      <c r="I259" s="1" t="s">
        <v>50</v>
      </c>
      <c r="J259" s="1" t="s">
        <v>51</v>
      </c>
      <c r="K259" s="1" t="s">
        <v>31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6"/>
        <v>-0.76979568478598892</v>
      </c>
      <c r="F260" s="86">
        <f t="shared" si="47"/>
        <v>554.75500000000534</v>
      </c>
      <c r="G260" s="86">
        <v>89926.634000000005</v>
      </c>
      <c r="H260" s="6"/>
      <c r="I260" s="1" t="s">
        <v>50</v>
      </c>
      <c r="J260" s="1" t="s">
        <v>51</v>
      </c>
      <c r="K260" s="1" t="s">
        <v>31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6"/>
        <v>-0.90439168444801343</v>
      </c>
      <c r="F261" s="86">
        <f t="shared" si="47"/>
        <v>590.7759999999937</v>
      </c>
      <c r="G261" s="86">
        <v>89704.120999999999</v>
      </c>
      <c r="H261" s="6"/>
      <c r="I261" s="1" t="s">
        <v>50</v>
      </c>
      <c r="J261" s="1" t="s">
        <v>51</v>
      </c>
      <c r="K261" s="1" t="s">
        <v>31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6"/>
        <v>-1.7801534446784224</v>
      </c>
      <c r="F262" s="86">
        <f t="shared" si="47"/>
        <v>541.10000000000673</v>
      </c>
      <c r="G262" s="86">
        <v>88648.35</v>
      </c>
      <c r="H262" s="6"/>
      <c r="I262" s="1" t="s">
        <v>50</v>
      </c>
      <c r="J262" s="1" t="s">
        <v>51</v>
      </c>
      <c r="K262" s="1" t="s">
        <v>31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6"/>
        <v>-1.2771258573904647</v>
      </c>
      <c r="F263" s="86">
        <f t="shared" si="47"/>
        <v>506.32799999999611</v>
      </c>
      <c r="G263" s="86">
        <v>88022.527000000002</v>
      </c>
      <c r="H263" s="6"/>
      <c r="I263" s="1" t="s">
        <v>50</v>
      </c>
      <c r="J263" s="1" t="s">
        <v>51</v>
      </c>
      <c r="K263" s="1" t="s">
        <v>31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6"/>
        <v>5.1620876551294652E-2</v>
      </c>
      <c r="F264" s="86">
        <f t="shared" si="47"/>
        <v>519.90499999999349</v>
      </c>
      <c r="G264" s="86">
        <v>88587.87</v>
      </c>
      <c r="H264" s="6"/>
      <c r="I264" s="1" t="s">
        <v>50</v>
      </c>
      <c r="J264" s="1" t="s">
        <v>51</v>
      </c>
      <c r="K264" s="1" t="s">
        <v>31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6"/>
        <v>2.5886602759497435</v>
      </c>
      <c r="F265" s="86">
        <f t="shared" si="47"/>
        <v>549.34100000000171</v>
      </c>
      <c r="G265" s="86">
        <v>91430.45</v>
      </c>
      <c r="H265" s="6"/>
      <c r="I265" s="1" t="s">
        <v>50</v>
      </c>
      <c r="J265" s="1" t="s">
        <v>51</v>
      </c>
      <c r="K265" s="1" t="s">
        <v>31</v>
      </c>
      <c r="M265" s="6"/>
    </row>
    <row r="266" spans="1:13" hidden="1" collapsed="1" x14ac:dyDescent="0.2">
      <c r="A266" s="83" t="s">
        <v>58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50</v>
      </c>
      <c r="J266" s="1" t="s">
        <v>51</v>
      </c>
      <c r="K266" s="1" t="s">
        <v>31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>(D267/G265*100)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50</v>
      </c>
      <c r="J267" s="1" t="s">
        <v>51</v>
      </c>
      <c r="K267" s="1" t="s">
        <v>31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ref="E268:E278" si="48">(D268/G267*100)</f>
        <v>-0.31661400337031681</v>
      </c>
      <c r="F268" s="86">
        <f t="shared" ref="F268:F278" si="49">(G268-G267-D268)</f>
        <v>546.95000000000266</v>
      </c>
      <c r="G268" s="86">
        <v>91707.562000000005</v>
      </c>
      <c r="H268" s="6"/>
      <c r="I268" s="1" t="s">
        <v>50</v>
      </c>
      <c r="J268" s="1" t="s">
        <v>51</v>
      </c>
      <c r="K268" s="1" t="s">
        <v>31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8"/>
        <v>-1.2122042891075875</v>
      </c>
      <c r="F269" s="86">
        <f t="shared" si="49"/>
        <v>471.53699999999208</v>
      </c>
      <c r="G269" s="86">
        <v>91067.415999999997</v>
      </c>
      <c r="H269" s="6"/>
      <c r="I269" s="1" t="s">
        <v>50</v>
      </c>
      <c r="J269" s="1" t="s">
        <v>51</v>
      </c>
      <c r="K269" s="1" t="s">
        <v>31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8"/>
        <v>-0.68534611764980791</v>
      </c>
      <c r="F270" s="86">
        <f t="shared" si="49"/>
        <v>439.8430000000003</v>
      </c>
      <c r="G270" s="86">
        <v>90883.131999999998</v>
      </c>
      <c r="H270" s="6"/>
      <c r="I270" s="1" t="s">
        <v>50</v>
      </c>
      <c r="J270" s="1" t="s">
        <v>51</v>
      </c>
      <c r="K270" s="1" t="s">
        <v>31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8"/>
        <v>0.26706606017935208</v>
      </c>
      <c r="F271" s="86">
        <f t="shared" si="49"/>
        <v>570.53899999999783</v>
      </c>
      <c r="G271" s="86">
        <v>91696.388999999996</v>
      </c>
      <c r="H271" s="6"/>
      <c r="I271" s="1" t="s">
        <v>50</v>
      </c>
      <c r="J271" s="1" t="s">
        <v>51</v>
      </c>
      <c r="K271" s="1" t="s">
        <v>31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8"/>
        <v>0.28718688148123256</v>
      </c>
      <c r="F272" s="86">
        <f t="shared" si="49"/>
        <v>618.10800000000404</v>
      </c>
      <c r="G272" s="86">
        <v>92577.837</v>
      </c>
      <c r="H272" s="6"/>
      <c r="I272" s="1" t="s">
        <v>50</v>
      </c>
      <c r="J272" s="1" t="s">
        <v>51</v>
      </c>
      <c r="K272" s="1" t="s">
        <v>31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8"/>
        <v>-0.39743529544765666</v>
      </c>
      <c r="F273" s="86">
        <f t="shared" si="49"/>
        <v>568.67700000000525</v>
      </c>
      <c r="G273" s="86">
        <v>92778.577000000005</v>
      </c>
      <c r="H273" s="6"/>
      <c r="I273" s="1" t="s">
        <v>50</v>
      </c>
      <c r="J273" s="1" t="s">
        <v>51</v>
      </c>
      <c r="K273" s="1" t="s">
        <v>31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8"/>
        <v>-0.54365136468950159</v>
      </c>
      <c r="F274" s="86">
        <f t="shared" si="49"/>
        <v>694.35499999998888</v>
      </c>
      <c r="G274" s="86">
        <v>92968.54</v>
      </c>
      <c r="H274" s="6"/>
      <c r="I274" s="1" t="s">
        <v>50</v>
      </c>
      <c r="J274" s="1" t="s">
        <v>51</v>
      </c>
      <c r="K274" s="1" t="s">
        <v>31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8"/>
        <v>-0.32650399801911489</v>
      </c>
      <c r="F275" s="86">
        <f t="shared" si="49"/>
        <v>689.79300000000308</v>
      </c>
      <c r="G275" s="86">
        <v>93354.786999999997</v>
      </c>
      <c r="H275" s="6"/>
      <c r="I275" s="1" t="s">
        <v>50</v>
      </c>
      <c r="J275" s="1" t="s">
        <v>51</v>
      </c>
      <c r="K275" s="1" t="s">
        <v>31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8"/>
        <v>-0.2628831449211062</v>
      </c>
      <c r="F276" s="86">
        <f t="shared" si="49"/>
        <v>625.10299999999847</v>
      </c>
      <c r="G276" s="86">
        <v>93734.475999999995</v>
      </c>
      <c r="H276" s="6"/>
      <c r="I276" s="1" t="s">
        <v>50</v>
      </c>
      <c r="J276" s="1" t="s">
        <v>51</v>
      </c>
      <c r="K276" s="1" t="s">
        <v>31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8"/>
        <v>0.71821919610453688</v>
      </c>
      <c r="F277" s="86">
        <f t="shared" si="49"/>
        <v>656.13699999999972</v>
      </c>
      <c r="G277" s="86">
        <v>95063.831999999995</v>
      </c>
      <c r="H277" s="6"/>
      <c r="I277" s="1" t="s">
        <v>50</v>
      </c>
      <c r="J277" s="1" t="s">
        <v>51</v>
      </c>
      <c r="K277" s="1" t="s">
        <v>31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8"/>
        <v>1.5214440335205508</v>
      </c>
      <c r="F278" s="86">
        <f t="shared" si="49"/>
        <v>636.07500000000505</v>
      </c>
      <c r="G278" s="86">
        <v>97146.25</v>
      </c>
      <c r="H278" s="6"/>
      <c r="I278" s="1" t="s">
        <v>50</v>
      </c>
      <c r="J278" s="1" t="s">
        <v>51</v>
      </c>
      <c r="K278" s="1" t="s">
        <v>31</v>
      </c>
      <c r="M278" s="6"/>
    </row>
    <row r="279" spans="1:13" hidden="1" collapsed="1" x14ac:dyDescent="0.2">
      <c r="A279" s="83" t="s">
        <v>59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50</v>
      </c>
      <c r="J279" s="1" t="s">
        <v>51</v>
      </c>
      <c r="K279" s="1" t="s">
        <v>31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>(D280/G278*100)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50</v>
      </c>
      <c r="J280" s="1" t="s">
        <v>51</v>
      </c>
      <c r="K280" s="1" t="s">
        <v>31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ref="E281:E291" si="50">(D281/G280*100)</f>
        <v>-0.14597976234386892</v>
      </c>
      <c r="F281" s="86">
        <f t="shared" ref="F281:F291" si="51">(G281-G280-D281)</f>
        <v>656.13500000000158</v>
      </c>
      <c r="G281" s="86">
        <v>97361.744000000006</v>
      </c>
      <c r="H281" s="6"/>
      <c r="I281" s="1" t="s">
        <v>50</v>
      </c>
      <c r="J281" s="1" t="s">
        <v>51</v>
      </c>
      <c r="K281" s="1" t="s">
        <v>31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50"/>
        <v>-0.40374379489340284</v>
      </c>
      <c r="F282" s="86">
        <f t="shared" si="51"/>
        <v>594.78799999999626</v>
      </c>
      <c r="G282" s="86">
        <v>97563.44</v>
      </c>
      <c r="H282" s="6"/>
      <c r="I282" s="1" t="s">
        <v>50</v>
      </c>
      <c r="J282" s="1" t="s">
        <v>51</v>
      </c>
      <c r="K282" s="1" t="s">
        <v>31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50"/>
        <v>-0.99647675399719393</v>
      </c>
      <c r="F283" s="86">
        <f t="shared" si="51"/>
        <v>629.3899999999993</v>
      </c>
      <c r="G283" s="86">
        <v>97220.633000000002</v>
      </c>
      <c r="H283" s="6"/>
      <c r="I283" s="1" t="s">
        <v>50</v>
      </c>
      <c r="J283" s="1" t="s">
        <v>51</v>
      </c>
      <c r="K283" s="1" t="s">
        <v>31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50"/>
        <v>-0.1676773694736178</v>
      </c>
      <c r="F284" s="86">
        <f t="shared" si="51"/>
        <v>638.85900000000424</v>
      </c>
      <c r="G284" s="86">
        <v>97696.475000000006</v>
      </c>
      <c r="H284" s="6"/>
      <c r="I284" s="1" t="s">
        <v>50</v>
      </c>
      <c r="J284" s="1" t="s">
        <v>51</v>
      </c>
      <c r="K284" s="1" t="s">
        <v>31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50"/>
        <v>4.5330028539924285</v>
      </c>
      <c r="F285" s="86">
        <f t="shared" si="51"/>
        <v>607.47899999999481</v>
      </c>
      <c r="G285" s="86">
        <v>102732.538</v>
      </c>
      <c r="H285" s="6"/>
      <c r="I285" s="1" t="s">
        <v>50</v>
      </c>
      <c r="J285" s="1" t="s">
        <v>51</v>
      </c>
      <c r="K285" s="1" t="s">
        <v>31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50"/>
        <v>2.4716716333825994</v>
      </c>
      <c r="F286" s="86">
        <f t="shared" si="51"/>
        <v>662.95099999999684</v>
      </c>
      <c r="G286" s="86">
        <v>105934.7</v>
      </c>
      <c r="H286" s="6"/>
      <c r="I286" s="1" t="s">
        <v>50</v>
      </c>
      <c r="J286" s="1" t="s">
        <v>51</v>
      </c>
      <c r="K286" s="1" t="s">
        <v>31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50"/>
        <v>2.4327533848682257</v>
      </c>
      <c r="F287" s="86">
        <f t="shared" si="51"/>
        <v>744.7840000000042</v>
      </c>
      <c r="G287" s="86">
        <v>109256.614</v>
      </c>
      <c r="H287" s="6"/>
      <c r="I287" s="1" t="s">
        <v>50</v>
      </c>
      <c r="J287" s="1" t="s">
        <v>51</v>
      </c>
      <c r="K287" s="1" t="s">
        <v>31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50"/>
        <v>0.74211067899285243</v>
      </c>
      <c r="F288" s="86">
        <f t="shared" si="51"/>
        <v>741.59000000000412</v>
      </c>
      <c r="G288" s="86">
        <v>110809.00900000001</v>
      </c>
      <c r="H288" s="6"/>
      <c r="I288" s="1" t="s">
        <v>50</v>
      </c>
      <c r="J288" s="1" t="s">
        <v>51</v>
      </c>
      <c r="K288" s="1" t="s">
        <v>31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50"/>
        <v>-0.30336793283658009</v>
      </c>
      <c r="F289" s="86">
        <f t="shared" si="51"/>
        <v>729.69599999999662</v>
      </c>
      <c r="G289" s="86">
        <v>111202.546</v>
      </c>
      <c r="H289" s="6"/>
      <c r="I289" s="1" t="s">
        <v>50</v>
      </c>
      <c r="J289" s="1" t="s">
        <v>51</v>
      </c>
      <c r="K289" s="1" t="s">
        <v>31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50"/>
        <v>-6.6952603765025306E-2</v>
      </c>
      <c r="F290" s="86">
        <f t="shared" si="51"/>
        <v>804.99399999999741</v>
      </c>
      <c r="G290" s="86">
        <v>111933.087</v>
      </c>
      <c r="H290" s="6"/>
      <c r="I290" s="1" t="s">
        <v>50</v>
      </c>
      <c r="J290" s="1" t="s">
        <v>51</v>
      </c>
      <c r="K290" s="1" t="s">
        <v>31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50"/>
        <v>-0.29461798011520934</v>
      </c>
      <c r="F291" s="86">
        <f t="shared" si="51"/>
        <v>820.13200000000359</v>
      </c>
      <c r="G291" s="86">
        <v>112423.444</v>
      </c>
      <c r="H291" s="6"/>
      <c r="I291" s="1" t="s">
        <v>50</v>
      </c>
      <c r="J291" s="1" t="s">
        <v>51</v>
      </c>
      <c r="K291" s="1" t="s">
        <v>31</v>
      </c>
      <c r="M291" s="6"/>
    </row>
    <row r="292" spans="1:13" hidden="1" collapsed="1" x14ac:dyDescent="0.2">
      <c r="A292" s="83" t="s">
        <v>60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50</v>
      </c>
      <c r="J292" s="1" t="s">
        <v>51</v>
      </c>
      <c r="K292" s="1" t="s">
        <v>31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52">B293-D293</f>
        <v>43353.438000000002</v>
      </c>
      <c r="D293" s="86">
        <v>-1003.438</v>
      </c>
      <c r="E293" s="92">
        <f>(D293/G291*100)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50</v>
      </c>
      <c r="J293" s="1" t="s">
        <v>51</v>
      </c>
      <c r="K293" s="1" t="s">
        <v>31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52"/>
        <v>41415.648000000001</v>
      </c>
      <c r="D294" s="86">
        <v>-1165.6479999999999</v>
      </c>
      <c r="E294" s="92">
        <f t="shared" ref="E294:E304" si="53">(D294/G293*100)</f>
        <v>-1.0378171458762431</v>
      </c>
      <c r="F294" s="86">
        <f t="shared" ref="F294:F304" si="54">(G294-G293-D294)</f>
        <v>1015.3809999999928</v>
      </c>
      <c r="G294" s="86">
        <v>112167.014</v>
      </c>
      <c r="H294" s="6"/>
      <c r="I294" s="1" t="s">
        <v>50</v>
      </c>
      <c r="J294" s="1" t="s">
        <v>51</v>
      </c>
      <c r="K294" s="1" t="s">
        <v>31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52"/>
        <v>40108.902000000002</v>
      </c>
      <c r="D295" s="86">
        <v>-1920.3910000000001</v>
      </c>
      <c r="E295" s="92">
        <f t="shared" si="53"/>
        <v>-1.7120817712059269</v>
      </c>
      <c r="F295" s="86">
        <f t="shared" si="54"/>
        <v>893.93700000000217</v>
      </c>
      <c r="G295" s="86">
        <v>111140.56</v>
      </c>
      <c r="H295" s="6"/>
      <c r="I295" s="1" t="s">
        <v>50</v>
      </c>
      <c r="J295" s="1" t="s">
        <v>51</v>
      </c>
      <c r="K295" s="1" t="s">
        <v>31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52"/>
        <v>41426.322999999997</v>
      </c>
      <c r="D296" s="86">
        <v>-1800.3230000000001</v>
      </c>
      <c r="E296" s="92">
        <f t="shared" si="53"/>
        <v>-1.6198613719419805</v>
      </c>
      <c r="F296" s="86">
        <f t="shared" si="54"/>
        <v>1012.2070000000056</v>
      </c>
      <c r="G296" s="86">
        <v>110352.444</v>
      </c>
      <c r="H296" s="6"/>
      <c r="I296" s="1" t="s">
        <v>50</v>
      </c>
      <c r="J296" s="1" t="s">
        <v>51</v>
      </c>
      <c r="K296" s="1" t="s">
        <v>31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52"/>
        <v>42900.597000000002</v>
      </c>
      <c r="D297" s="86">
        <v>-1226.597</v>
      </c>
      <c r="E297" s="92">
        <f t="shared" si="53"/>
        <v>-1.1115268095013826</v>
      </c>
      <c r="F297" s="86">
        <f t="shared" si="54"/>
        <v>906.32100000000196</v>
      </c>
      <c r="G297" s="86">
        <v>110032.16800000001</v>
      </c>
      <c r="H297" s="6"/>
      <c r="I297" s="1" t="s">
        <v>50</v>
      </c>
      <c r="J297" s="1" t="s">
        <v>51</v>
      </c>
      <c r="K297" s="1" t="s">
        <v>31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52"/>
        <v>42245.622000000003</v>
      </c>
      <c r="D298" s="86">
        <v>-1012.622</v>
      </c>
      <c r="E298" s="92">
        <f t="shared" si="53"/>
        <v>-0.92029632643428405</v>
      </c>
      <c r="F298" s="86">
        <f t="shared" si="54"/>
        <v>1012.4019999999988</v>
      </c>
      <c r="G298" s="86">
        <v>110031.948</v>
      </c>
      <c r="H298" s="6"/>
      <c r="I298" s="1" t="s">
        <v>50</v>
      </c>
      <c r="J298" s="1" t="s">
        <v>51</v>
      </c>
      <c r="K298" s="1" t="s">
        <v>31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52"/>
        <v>44816.427000000003</v>
      </c>
      <c r="D299" s="86">
        <v>-500.42700000000002</v>
      </c>
      <c r="E299" s="92">
        <f t="shared" si="53"/>
        <v>-0.45480154545659779</v>
      </c>
      <c r="F299" s="86">
        <f t="shared" si="54"/>
        <v>983.41099999999676</v>
      </c>
      <c r="G299" s="86">
        <v>110514.932</v>
      </c>
      <c r="H299" s="6"/>
      <c r="I299" s="1" t="s">
        <v>50</v>
      </c>
      <c r="J299" s="1" t="s">
        <v>51</v>
      </c>
      <c r="K299" s="1" t="s">
        <v>31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52"/>
        <v>41581.872000000003</v>
      </c>
      <c r="D300" s="86">
        <v>-461.87200000000001</v>
      </c>
      <c r="E300" s="92">
        <f t="shared" si="53"/>
        <v>-0.41792723538933185</v>
      </c>
      <c r="F300" s="86">
        <f t="shared" si="54"/>
        <v>1013.1940000000002</v>
      </c>
      <c r="G300" s="86">
        <v>111066.254</v>
      </c>
      <c r="H300" s="6"/>
      <c r="I300" s="1" t="s">
        <v>50</v>
      </c>
      <c r="J300" s="1" t="s">
        <v>51</v>
      </c>
      <c r="K300" s="1" t="s">
        <v>31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52"/>
        <v>44172.652000000002</v>
      </c>
      <c r="D301" s="86">
        <v>-1039.451</v>
      </c>
      <c r="E301" s="92">
        <f t="shared" si="53"/>
        <v>-0.93588372936391651</v>
      </c>
      <c r="F301" s="86">
        <f t="shared" si="54"/>
        <v>919.16299999999956</v>
      </c>
      <c r="G301" s="86">
        <v>110945.966</v>
      </c>
      <c r="H301" s="6"/>
      <c r="I301" s="1" t="s">
        <v>50</v>
      </c>
      <c r="J301" s="1" t="s">
        <v>51</v>
      </c>
      <c r="K301" s="1" t="s">
        <v>31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52"/>
        <v>44834.432999999997</v>
      </c>
      <c r="D302" s="86">
        <v>-888.91800000000001</v>
      </c>
      <c r="E302" s="92">
        <f t="shared" si="53"/>
        <v>-0.80121705371423779</v>
      </c>
      <c r="F302" s="86">
        <f t="shared" si="54"/>
        <v>840.81799999999419</v>
      </c>
      <c r="G302" s="86">
        <v>110897.86599999999</v>
      </c>
      <c r="H302" s="6"/>
      <c r="I302" s="1" t="s">
        <v>50</v>
      </c>
      <c r="J302" s="1" t="s">
        <v>51</v>
      </c>
      <c r="K302" s="1" t="s">
        <v>31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52"/>
        <v>42048.582000000002</v>
      </c>
      <c r="D303" s="86">
        <v>930.05100000000004</v>
      </c>
      <c r="E303" s="92">
        <f t="shared" si="53"/>
        <v>0.83865545257651775</v>
      </c>
      <c r="F303" s="86">
        <f t="shared" si="54"/>
        <v>803.58300000000543</v>
      </c>
      <c r="G303" s="86">
        <v>112631.5</v>
      </c>
      <c r="H303" s="6"/>
      <c r="I303" s="1" t="s">
        <v>50</v>
      </c>
      <c r="J303" s="1" t="s">
        <v>51</v>
      </c>
      <c r="K303" s="1" t="s">
        <v>31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52"/>
        <v>55099.752999999997</v>
      </c>
      <c r="D304" s="86">
        <v>1910.75</v>
      </c>
      <c r="E304" s="92">
        <f t="shared" si="53"/>
        <v>1.6964614694823386</v>
      </c>
      <c r="F304" s="86">
        <f t="shared" si="54"/>
        <v>715.77099999999336</v>
      </c>
      <c r="G304" s="86">
        <v>115258.02099999999</v>
      </c>
      <c r="H304" s="6"/>
      <c r="I304" s="1" t="s">
        <v>50</v>
      </c>
      <c r="J304" s="1" t="s">
        <v>51</v>
      </c>
      <c r="K304" s="1" t="s">
        <v>31</v>
      </c>
      <c r="M304" s="6"/>
    </row>
    <row r="305" spans="1:13" hidden="1" collapsed="1" x14ac:dyDescent="0.2">
      <c r="A305" s="83" t="s">
        <v>61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50</v>
      </c>
      <c r="J305" s="1" t="s">
        <v>51</v>
      </c>
      <c r="K305" s="1" t="s">
        <v>31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>(D306/G304*100)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50</v>
      </c>
      <c r="J306" s="1" t="s">
        <v>51</v>
      </c>
      <c r="K306" s="1" t="s">
        <v>31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ref="E307:E317" si="55">(D307/G306*100)</f>
        <v>-0.29907137301441278</v>
      </c>
      <c r="F307" s="86">
        <f t="shared" ref="F307:F317" si="56">(G307-G306-D307)</f>
        <v>670.62899999998808</v>
      </c>
      <c r="G307" s="86">
        <v>115632.03599999999</v>
      </c>
      <c r="H307" s="6"/>
      <c r="I307" s="1" t="s">
        <v>50</v>
      </c>
      <c r="J307" s="1" t="s">
        <v>51</v>
      </c>
      <c r="K307" s="1" t="s">
        <v>31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5"/>
        <v>-1.0633713999466377</v>
      </c>
      <c r="F308" s="86">
        <f t="shared" si="56"/>
        <v>613.30200000001241</v>
      </c>
      <c r="G308" s="86">
        <v>115015.74</v>
      </c>
      <c r="H308" s="6"/>
      <c r="I308" s="1" t="s">
        <v>50</v>
      </c>
      <c r="J308" s="1" t="s">
        <v>51</v>
      </c>
      <c r="K308" s="1" t="s">
        <v>31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5"/>
        <v>-0.4199555643427586</v>
      </c>
      <c r="F309" s="86">
        <f t="shared" si="56"/>
        <v>694.13599999999917</v>
      </c>
      <c r="G309" s="86">
        <v>115226.861</v>
      </c>
      <c r="H309" s="6"/>
      <c r="I309" s="1" t="s">
        <v>50</v>
      </c>
      <c r="J309" s="1" t="s">
        <v>51</v>
      </c>
      <c r="K309" s="1" t="s">
        <v>31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5"/>
        <v>1.149935864346769</v>
      </c>
      <c r="F310" s="86">
        <f t="shared" si="56"/>
        <v>656.74799999999573</v>
      </c>
      <c r="G310" s="86">
        <v>117208.644</v>
      </c>
      <c r="H310" s="6"/>
      <c r="I310" s="1" t="s">
        <v>50</v>
      </c>
      <c r="J310" s="1" t="s">
        <v>51</v>
      </c>
      <c r="K310" s="1" t="s">
        <v>31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5"/>
        <v>0.55039541281614013</v>
      </c>
      <c r="F311" s="86">
        <f t="shared" si="56"/>
        <v>739.43100000000129</v>
      </c>
      <c r="G311" s="86">
        <v>118593.186</v>
      </c>
      <c r="H311" s="6"/>
      <c r="I311" s="1" t="s">
        <v>50</v>
      </c>
      <c r="J311" s="1" t="s">
        <v>51</v>
      </c>
      <c r="K311" s="1" t="s">
        <v>31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5"/>
        <v>0.72902586494303312</v>
      </c>
      <c r="F312" s="86">
        <f t="shared" si="56"/>
        <v>753.18199999999774</v>
      </c>
      <c r="G312" s="86">
        <v>120210.943</v>
      </c>
      <c r="H312" s="6"/>
      <c r="I312" s="1" t="s">
        <v>50</v>
      </c>
      <c r="J312" s="1" t="s">
        <v>51</v>
      </c>
      <c r="K312" s="1" t="s">
        <v>31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5"/>
        <v>-0.20492393941207165</v>
      </c>
      <c r="F313" s="86">
        <f t="shared" si="56"/>
        <v>764.02400000000455</v>
      </c>
      <c r="G313" s="86">
        <v>120728.626</v>
      </c>
      <c r="H313" s="6"/>
      <c r="I313" s="1" t="s">
        <v>50</v>
      </c>
      <c r="J313" s="1" t="s">
        <v>51</v>
      </c>
      <c r="K313" s="1" t="s">
        <v>31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5"/>
        <v>-0.27321689223896245</v>
      </c>
      <c r="F314" s="86">
        <f t="shared" si="56"/>
        <v>779.32399999999814</v>
      </c>
      <c r="G314" s="86">
        <v>121178.099</v>
      </c>
      <c r="H314" s="6"/>
      <c r="I314" s="1" t="s">
        <v>50</v>
      </c>
      <c r="J314" s="1" t="s">
        <v>51</v>
      </c>
      <c r="K314" s="1" t="s">
        <v>31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5"/>
        <v>-5.6323709121728335E-2</v>
      </c>
      <c r="F315" s="86">
        <f t="shared" si="56"/>
        <v>743.22799999999506</v>
      </c>
      <c r="G315" s="86">
        <v>121853.075</v>
      </c>
      <c r="H315" s="6"/>
      <c r="I315" s="1" t="s">
        <v>50</v>
      </c>
      <c r="J315" s="1" t="s">
        <v>51</v>
      </c>
      <c r="K315" s="1" t="s">
        <v>31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5"/>
        <v>0.53344652976545726</v>
      </c>
      <c r="F316" s="86">
        <f t="shared" si="56"/>
        <v>680.57400000000121</v>
      </c>
      <c r="G316" s="86">
        <v>123183.67</v>
      </c>
      <c r="H316" s="6"/>
      <c r="I316" s="1" t="s">
        <v>50</v>
      </c>
      <c r="J316" s="1" t="s">
        <v>51</v>
      </c>
      <c r="K316" s="1" t="s">
        <v>31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5"/>
        <v>2.3639415841401701</v>
      </c>
      <c r="F317" s="86">
        <f t="shared" si="56"/>
        <v>757.55700000000616</v>
      </c>
      <c r="G317" s="86">
        <v>126853.217</v>
      </c>
      <c r="H317" s="6"/>
      <c r="I317" s="1" t="s">
        <v>50</v>
      </c>
      <c r="J317" s="1" t="s">
        <v>51</v>
      </c>
      <c r="K317" s="1" t="s">
        <v>31</v>
      </c>
      <c r="M317" s="6"/>
    </row>
    <row r="318" spans="1:13" hidden="1" collapsed="1" x14ac:dyDescent="0.2">
      <c r="A318" s="83" t="s">
        <v>62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50</v>
      </c>
      <c r="J318" s="1" t="s">
        <v>51</v>
      </c>
      <c r="K318" s="1" t="s">
        <v>31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>(D319/G317*100)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50</v>
      </c>
      <c r="J319" s="1" t="s">
        <v>51</v>
      </c>
      <c r="K319" s="1" t="s">
        <v>31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ref="E320:E330" si="57">(D320/G319*100)</f>
        <v>-0.50017053238528764</v>
      </c>
      <c r="F320" s="86">
        <f t="shared" ref="F320:F330" si="58">(G320-G319-D320)</f>
        <v>815.65400000000125</v>
      </c>
      <c r="G320" s="86">
        <v>127060.16800000001</v>
      </c>
      <c r="H320" s="6"/>
      <c r="I320" s="1" t="s">
        <v>50</v>
      </c>
      <c r="J320" s="1" t="s">
        <v>51</v>
      </c>
      <c r="K320" s="1" t="s">
        <v>31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7"/>
        <v>-1.1186235799719704</v>
      </c>
      <c r="F321" s="86">
        <f t="shared" si="58"/>
        <v>774.40399999999795</v>
      </c>
      <c r="G321" s="86">
        <v>126413.247</v>
      </c>
      <c r="H321" s="6"/>
      <c r="I321" s="1" t="s">
        <v>50</v>
      </c>
      <c r="J321" s="1" t="s">
        <v>51</v>
      </c>
      <c r="K321" s="1" t="s">
        <v>31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7"/>
        <v>-0.34196732562371512</v>
      </c>
      <c r="F322" s="86">
        <f t="shared" si="58"/>
        <v>867.99599999999919</v>
      </c>
      <c r="G322" s="86">
        <v>126848.951</v>
      </c>
      <c r="H322" s="6"/>
      <c r="I322" s="1" t="s">
        <v>50</v>
      </c>
      <c r="J322" s="1" t="s">
        <v>51</v>
      </c>
      <c r="K322" s="1" t="s">
        <v>31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7"/>
        <v>-1.0165184574525965</v>
      </c>
      <c r="F323" s="86">
        <f t="shared" si="58"/>
        <v>846.75900000000615</v>
      </c>
      <c r="G323" s="86">
        <v>126406.26700000001</v>
      </c>
      <c r="H323" s="6"/>
      <c r="I323" s="1" t="s">
        <v>50</v>
      </c>
      <c r="J323" s="1" t="s">
        <v>51</v>
      </c>
      <c r="K323" s="1" t="s">
        <v>31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7"/>
        <v>-0.19162736607038636</v>
      </c>
      <c r="F324" s="86">
        <f t="shared" si="58"/>
        <v>901.10199999999236</v>
      </c>
      <c r="G324" s="86">
        <v>127065.14</v>
      </c>
      <c r="H324" s="6"/>
      <c r="I324" s="1" t="s">
        <v>50</v>
      </c>
      <c r="J324" s="1" t="s">
        <v>51</v>
      </c>
      <c r="K324" s="1" t="s">
        <v>31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7"/>
        <v>0.37518315408931197</v>
      </c>
      <c r="F325" s="86">
        <f t="shared" si="58"/>
        <v>915.79000000000713</v>
      </c>
      <c r="G325" s="86">
        <v>128457.65700000001</v>
      </c>
      <c r="H325" s="6"/>
      <c r="I325" s="1" t="s">
        <v>50</v>
      </c>
      <c r="J325" s="1" t="s">
        <v>51</v>
      </c>
      <c r="K325" s="1" t="s">
        <v>31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7"/>
        <v>-0.80637077165435134</v>
      </c>
      <c r="F326" s="86">
        <f t="shared" si="58"/>
        <v>928.01399999999444</v>
      </c>
      <c r="G326" s="86">
        <v>128349.826</v>
      </c>
      <c r="H326" s="6"/>
      <c r="I326" s="1" t="s">
        <v>50</v>
      </c>
      <c r="J326" s="1" t="s">
        <v>51</v>
      </c>
      <c r="K326" s="1" t="s">
        <v>31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7"/>
        <v>-0.37663783042448373</v>
      </c>
      <c r="F327" s="86">
        <f t="shared" si="58"/>
        <v>951.25299999999265</v>
      </c>
      <c r="G327" s="86">
        <v>128817.66499999999</v>
      </c>
      <c r="H327" s="6"/>
      <c r="I327" s="1" t="s">
        <v>50</v>
      </c>
      <c r="J327" s="1" t="s">
        <v>51</v>
      </c>
      <c r="K327" s="1" t="s">
        <v>31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7"/>
        <v>-0.20568762832333595</v>
      </c>
      <c r="F328" s="86">
        <f t="shared" si="58"/>
        <v>882.59800000001314</v>
      </c>
      <c r="G328" s="86">
        <v>129435.30100000001</v>
      </c>
      <c r="H328" s="6"/>
      <c r="I328" s="1" t="s">
        <v>50</v>
      </c>
      <c r="J328" s="1" t="s">
        <v>51</v>
      </c>
      <c r="K328" s="1" t="s">
        <v>31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7"/>
        <v>0.40754492470334647</v>
      </c>
      <c r="F329" s="86">
        <f t="shared" si="58"/>
        <v>855.03399999999749</v>
      </c>
      <c r="G329" s="86">
        <v>130817.842</v>
      </c>
      <c r="H329" s="6"/>
      <c r="I329" s="1" t="s">
        <v>50</v>
      </c>
      <c r="J329" s="1" t="s">
        <v>51</v>
      </c>
      <c r="K329" s="1" t="s">
        <v>31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7"/>
        <v>2.8633922886451524</v>
      </c>
      <c r="F330" s="86">
        <f t="shared" si="58"/>
        <v>848.01100000000724</v>
      </c>
      <c r="G330" s="86">
        <v>135411.68100000001</v>
      </c>
      <c r="H330" s="6"/>
      <c r="I330" s="1" t="s">
        <v>50</v>
      </c>
      <c r="J330" s="1" t="s">
        <v>51</v>
      </c>
      <c r="K330" s="1" t="s">
        <v>31</v>
      </c>
      <c r="M330" s="6"/>
    </row>
    <row r="331" spans="1:13" hidden="1" collapsed="1" x14ac:dyDescent="0.2">
      <c r="A331" s="83" t="s">
        <v>63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50</v>
      </c>
      <c r="J331" s="1" t="s">
        <v>51</v>
      </c>
      <c r="K331" s="1" t="s">
        <v>31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>(D332/G330*100)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50</v>
      </c>
      <c r="J332" s="1" t="s">
        <v>51</v>
      </c>
      <c r="K332" s="1" t="s">
        <v>31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ref="E333:E343" si="59">(D333/G332*100)</f>
        <v>0.28413354815882397</v>
      </c>
      <c r="F333" s="86">
        <f t="shared" ref="F333:F343" si="60">(G333-G332-D333)</f>
        <v>808.63499999999487</v>
      </c>
      <c r="G333" s="86">
        <v>135483.39499999999</v>
      </c>
      <c r="H333" s="6"/>
      <c r="I333" s="1" t="s">
        <v>50</v>
      </c>
      <c r="J333" s="1" t="s">
        <v>51</v>
      </c>
      <c r="K333" s="1" t="s">
        <v>31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9"/>
        <v>-2.5014777641200978</v>
      </c>
      <c r="F334" s="86">
        <f t="shared" si="60"/>
        <v>798.23700000002327</v>
      </c>
      <c r="G334" s="86">
        <v>132892.54500000001</v>
      </c>
      <c r="H334" s="6"/>
      <c r="I334" s="1" t="s">
        <v>50</v>
      </c>
      <c r="J334" s="1" t="s">
        <v>51</v>
      </c>
      <c r="K334" s="1" t="s">
        <v>31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9"/>
        <v>-0.96026304560575604</v>
      </c>
      <c r="F335" s="86">
        <f t="shared" si="60"/>
        <v>808.16599999998061</v>
      </c>
      <c r="G335" s="86">
        <v>132424.59299999999</v>
      </c>
      <c r="H335" s="6"/>
      <c r="I335" s="1" t="s">
        <v>50</v>
      </c>
      <c r="J335" s="1" t="s">
        <v>51</v>
      </c>
      <c r="K335" s="1" t="s">
        <v>31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9"/>
        <v>-1.054483890314845</v>
      </c>
      <c r="F336" s="86">
        <f t="shared" si="60"/>
        <v>728.87300000001346</v>
      </c>
      <c r="G336" s="86">
        <v>131757.07</v>
      </c>
      <c r="H336" s="6"/>
      <c r="I336" s="1" t="s">
        <v>50</v>
      </c>
      <c r="J336" s="1" t="s">
        <v>51</v>
      </c>
      <c r="K336" s="1" t="s">
        <v>31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9"/>
        <v>0.29226666925729294</v>
      </c>
      <c r="F337" s="86">
        <f t="shared" si="60"/>
        <v>858.21299999998371</v>
      </c>
      <c r="G337" s="86">
        <v>133000.36499999999</v>
      </c>
      <c r="H337" s="6"/>
      <c r="I337" s="1" t="s">
        <v>50</v>
      </c>
      <c r="J337" s="1" t="s">
        <v>51</v>
      </c>
      <c r="K337" s="1" t="s">
        <v>31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9"/>
        <v>0.89073590136387981</v>
      </c>
      <c r="F338" s="86">
        <f t="shared" si="60"/>
        <v>839.84100000001558</v>
      </c>
      <c r="G338" s="86">
        <v>135024.88800000001</v>
      </c>
      <c r="H338" s="6"/>
      <c r="I338" s="1" t="s">
        <v>50</v>
      </c>
      <c r="J338" s="1" t="s">
        <v>51</v>
      </c>
      <c r="K338" s="1" t="s">
        <v>31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9"/>
        <v>-0.23469525114510739</v>
      </c>
      <c r="F339" s="86">
        <f t="shared" si="60"/>
        <v>883.74099999998271</v>
      </c>
      <c r="G339" s="86">
        <v>135591.73199999999</v>
      </c>
      <c r="H339" s="6"/>
      <c r="I339" s="1" t="s">
        <v>50</v>
      </c>
      <c r="J339" s="1" t="s">
        <v>51</v>
      </c>
      <c r="K339" s="1" t="s">
        <v>31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9"/>
        <v>1.3502335083381045</v>
      </c>
      <c r="F340" s="86">
        <f t="shared" si="60"/>
        <v>859.50000000002206</v>
      </c>
      <c r="G340" s="86">
        <v>138282.03700000001</v>
      </c>
      <c r="H340" s="6"/>
      <c r="I340" s="1" t="s">
        <v>50</v>
      </c>
      <c r="J340" s="1" t="s">
        <v>51</v>
      </c>
      <c r="K340" s="1" t="s">
        <v>31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9"/>
        <v>0.72173365510952081</v>
      </c>
      <c r="F341" s="86">
        <f t="shared" si="60"/>
        <v>846.72199999999998</v>
      </c>
      <c r="G341" s="86">
        <v>140126.78700000001</v>
      </c>
      <c r="H341" s="6"/>
      <c r="I341" s="1" t="s">
        <v>50</v>
      </c>
      <c r="J341" s="1" t="s">
        <v>51</v>
      </c>
      <c r="K341" s="1" t="s">
        <v>31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9"/>
        <v>1.6271185893957589</v>
      </c>
      <c r="F342" s="86">
        <f t="shared" si="60"/>
        <v>854.89499999999907</v>
      </c>
      <c r="G342" s="86">
        <v>143261.71100000001</v>
      </c>
      <c r="H342" s="6"/>
      <c r="I342" s="1" t="s">
        <v>50</v>
      </c>
      <c r="J342" s="1" t="s">
        <v>51</v>
      </c>
      <c r="K342" s="1" t="s">
        <v>31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9"/>
        <v>4.3965027054577055</v>
      </c>
      <c r="F343" s="86">
        <f t="shared" si="60"/>
        <v>852.32999999999174</v>
      </c>
      <c r="G343" s="86">
        <v>150412.546</v>
      </c>
      <c r="H343" s="6"/>
      <c r="I343" s="1" t="s">
        <v>50</v>
      </c>
      <c r="J343" s="1" t="s">
        <v>51</v>
      </c>
      <c r="K343" s="1" t="s">
        <v>31</v>
      </c>
      <c r="M343" s="6"/>
    </row>
    <row r="344" spans="1:13" hidden="1" collapsed="1" x14ac:dyDescent="0.2">
      <c r="A344" s="83" t="s">
        <v>64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50</v>
      </c>
      <c r="J344" s="1" t="s">
        <v>51</v>
      </c>
      <c r="K344" s="1" t="s">
        <v>31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>(D345/G343*100)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50</v>
      </c>
      <c r="J345" s="1" t="s">
        <v>51</v>
      </c>
      <c r="K345" s="1" t="s">
        <v>31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ref="E346:E356" si="61">(D346/G345*100)</f>
        <v>0.58817308264579482</v>
      </c>
      <c r="F346" s="86">
        <f t="shared" ref="F346:F356" si="62">(G346-G345-D346)</f>
        <v>970.40799999997762</v>
      </c>
      <c r="G346" s="86">
        <v>152538.17199999999</v>
      </c>
      <c r="H346" s="6"/>
      <c r="I346" s="1" t="s">
        <v>50</v>
      </c>
      <c r="J346" s="1" t="s">
        <v>51</v>
      </c>
      <c r="K346" s="1" t="s">
        <v>31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61"/>
        <v>0.73401168069589817</v>
      </c>
      <c r="F347" s="86">
        <f t="shared" si="62"/>
        <v>815.62600000000498</v>
      </c>
      <c r="G347" s="86">
        <v>154473.446</v>
      </c>
      <c r="H347" s="6"/>
      <c r="I347" s="1" t="s">
        <v>50</v>
      </c>
      <c r="J347" s="1" t="s">
        <v>51</v>
      </c>
      <c r="K347" s="1" t="s">
        <v>31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61"/>
        <v>1.0949823699796275</v>
      </c>
      <c r="F348" s="86">
        <f t="shared" si="62"/>
        <v>927.67000000000758</v>
      </c>
      <c r="G348" s="86">
        <v>157092.573</v>
      </c>
      <c r="H348" s="6"/>
      <c r="I348" s="1" t="s">
        <v>50</v>
      </c>
      <c r="J348" s="1" t="s">
        <v>51</v>
      </c>
      <c r="K348" s="1" t="s">
        <v>31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61"/>
        <v>0.65942455471780959</v>
      </c>
      <c r="F349" s="86">
        <f t="shared" si="62"/>
        <v>905.19000000000892</v>
      </c>
      <c r="G349" s="86">
        <v>159033.67000000001</v>
      </c>
      <c r="H349" s="6"/>
      <c r="I349" s="1" t="s">
        <v>50</v>
      </c>
      <c r="J349" s="1" t="s">
        <v>51</v>
      </c>
      <c r="K349" s="1" t="s">
        <v>31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61"/>
        <v>1.1601442637901771</v>
      </c>
      <c r="F350" s="86">
        <f t="shared" si="62"/>
        <v>935.64999999998372</v>
      </c>
      <c r="G350" s="86">
        <v>161814.34</v>
      </c>
      <c r="H350" s="6"/>
      <c r="I350" s="1" t="s">
        <v>50</v>
      </c>
      <c r="J350" s="1" t="s">
        <v>51</v>
      </c>
      <c r="K350" s="1" t="s">
        <v>31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61"/>
        <v>1.6656020721031277</v>
      </c>
      <c r="F351" s="86">
        <f t="shared" si="62"/>
        <v>911.13100000001305</v>
      </c>
      <c r="G351" s="86">
        <v>165420.65400000001</v>
      </c>
      <c r="H351" s="6"/>
      <c r="I351" s="1" t="s">
        <v>50</v>
      </c>
      <c r="J351" s="1" t="s">
        <v>51</v>
      </c>
      <c r="K351" s="1" t="s">
        <v>31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61"/>
        <v>1.4374311444809063</v>
      </c>
      <c r="F352" s="86">
        <f t="shared" si="62"/>
        <v>946.48499999997603</v>
      </c>
      <c r="G352" s="86">
        <v>168744.94699999999</v>
      </c>
      <c r="H352" s="6"/>
      <c r="I352" s="1" t="s">
        <v>50</v>
      </c>
      <c r="J352" s="1" t="s">
        <v>51</v>
      </c>
      <c r="K352" s="1" t="s">
        <v>31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61"/>
        <v>2.0337408977348521</v>
      </c>
      <c r="F353" s="86">
        <f t="shared" si="62"/>
        <v>925.34200000002511</v>
      </c>
      <c r="G353" s="86">
        <v>173102.12400000001</v>
      </c>
      <c r="H353" s="6"/>
      <c r="I353" s="1" t="s">
        <v>50</v>
      </c>
      <c r="J353" s="1" t="s">
        <v>51</v>
      </c>
      <c r="K353" s="1" t="s">
        <v>31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61"/>
        <v>0.85229167956367768</v>
      </c>
      <c r="F354" s="86">
        <f t="shared" si="62"/>
        <v>902.8879999999981</v>
      </c>
      <c r="G354" s="86">
        <v>175480.34700000001</v>
      </c>
      <c r="H354" s="6"/>
      <c r="I354" s="1" t="s">
        <v>50</v>
      </c>
      <c r="J354" s="1" t="s">
        <v>51</v>
      </c>
      <c r="K354" s="1" t="s">
        <v>31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61"/>
        <v>1.3702873518935998</v>
      </c>
      <c r="F355" s="86">
        <f t="shared" si="62"/>
        <v>893.69099999998343</v>
      </c>
      <c r="G355" s="86">
        <v>178778.62299999999</v>
      </c>
      <c r="H355" s="6"/>
      <c r="I355" s="1" t="s">
        <v>50</v>
      </c>
      <c r="J355" s="1" t="s">
        <v>51</v>
      </c>
      <c r="K355" s="1" t="s">
        <v>31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61"/>
        <v>4.5499472271916979</v>
      </c>
      <c r="F356" s="86">
        <f t="shared" si="62"/>
        <v>914.30800000000363</v>
      </c>
      <c r="G356" s="86">
        <v>187827.264</v>
      </c>
      <c r="H356" s="6"/>
      <c r="I356" s="1" t="s">
        <v>50</v>
      </c>
      <c r="J356" s="1" t="s">
        <v>51</v>
      </c>
      <c r="K356" s="1" t="s">
        <v>31</v>
      </c>
      <c r="M356" s="6"/>
    </row>
    <row r="357" spans="1:13" hidden="1" collapsed="1" x14ac:dyDescent="0.2">
      <c r="A357" s="83" t="s">
        <v>65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50</v>
      </c>
      <c r="J357" s="1" t="s">
        <v>51</v>
      </c>
      <c r="K357" s="1" t="s">
        <v>31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>(D358/G356*100)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50</v>
      </c>
      <c r="J358" s="1" t="s">
        <v>51</v>
      </c>
      <c r="K358" s="1" t="s">
        <v>31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ref="E359:E369" si="63">(D359/G358*100)</f>
        <v>0.59405163746842127</v>
      </c>
      <c r="F359" s="86">
        <f t="shared" ref="F359:F369" si="64">(G359-G358-D359)</f>
        <v>963.67599999999879</v>
      </c>
      <c r="G359" s="86">
        <v>190891.08900000001</v>
      </c>
      <c r="H359" s="6"/>
      <c r="I359" s="1" t="s">
        <v>50</v>
      </c>
      <c r="J359" s="1" t="s">
        <v>51</v>
      </c>
      <c r="K359" s="1" t="s">
        <v>31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3"/>
        <v>0.51533992767991388</v>
      </c>
      <c r="F360" s="86">
        <f t="shared" si="64"/>
        <v>960.56600000000367</v>
      </c>
      <c r="G360" s="86">
        <v>192835.39300000001</v>
      </c>
      <c r="H360" s="6"/>
      <c r="I360" s="1" t="s">
        <v>50</v>
      </c>
      <c r="J360" s="1" t="s">
        <v>51</v>
      </c>
      <c r="K360" s="1" t="s">
        <v>31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3"/>
        <v>-1.0440360395874009</v>
      </c>
      <c r="F361" s="86">
        <f t="shared" si="64"/>
        <v>1016.7300000000025</v>
      </c>
      <c r="G361" s="86">
        <v>191838.85200000001</v>
      </c>
      <c r="H361" s="6"/>
      <c r="I361" s="1" t="s">
        <v>50</v>
      </c>
      <c r="J361" s="1" t="s">
        <v>51</v>
      </c>
      <c r="K361" s="1" t="s">
        <v>31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3"/>
        <v>0.60379114445493032</v>
      </c>
      <c r="F362" s="86">
        <f t="shared" si="64"/>
        <v>987.99799999997458</v>
      </c>
      <c r="G362" s="86">
        <v>193985.15599999999</v>
      </c>
      <c r="H362" s="6"/>
      <c r="I362" s="1" t="s">
        <v>50</v>
      </c>
      <c r="J362" s="1" t="s">
        <v>51</v>
      </c>
      <c r="K362" s="1" t="s">
        <v>31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3"/>
        <v>0.68999300132016284</v>
      </c>
      <c r="F363" s="86">
        <f t="shared" si="64"/>
        <v>1097.726000000021</v>
      </c>
      <c r="G363" s="86">
        <v>196421.36600000001</v>
      </c>
      <c r="H363" s="6"/>
      <c r="I363" s="1" t="s">
        <v>50</v>
      </c>
      <c r="J363" s="1" t="s">
        <v>51</v>
      </c>
      <c r="K363" s="1" t="s">
        <v>31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3"/>
        <v>0.82752199167579354</v>
      </c>
      <c r="F364" s="86">
        <f t="shared" si="64"/>
        <v>1156.8189999999815</v>
      </c>
      <c r="G364" s="86">
        <v>199203.61499999999</v>
      </c>
      <c r="H364" s="6"/>
      <c r="I364" s="1" t="s">
        <v>50</v>
      </c>
      <c r="J364" s="1" t="s">
        <v>51</v>
      </c>
      <c r="K364" s="1" t="s">
        <v>31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3"/>
        <v>0.87660557766484315</v>
      </c>
      <c r="F365" s="86">
        <f t="shared" si="64"/>
        <v>1252.3880000000167</v>
      </c>
      <c r="G365" s="86">
        <v>202202.23300000001</v>
      </c>
      <c r="H365" s="6"/>
      <c r="I365" s="1" t="s">
        <v>50</v>
      </c>
      <c r="J365" s="1" t="s">
        <v>51</v>
      </c>
      <c r="K365" s="1" t="s">
        <v>31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3"/>
        <v>0.881370088529141</v>
      </c>
      <c r="F366" s="86">
        <f t="shared" si="64"/>
        <v>1315.271000000002</v>
      </c>
      <c r="G366" s="86">
        <v>205299.65400000001</v>
      </c>
      <c r="H366" s="6"/>
      <c r="I366" s="1" t="s">
        <v>50</v>
      </c>
      <c r="J366" s="1" t="s">
        <v>51</v>
      </c>
      <c r="K366" s="1" t="s">
        <v>31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3"/>
        <v>-0.19269832768446848</v>
      </c>
      <c r="F367" s="86">
        <f t="shared" si="64"/>
        <v>1297.3109999999901</v>
      </c>
      <c r="G367" s="86">
        <v>206201.356</v>
      </c>
      <c r="H367" s="6"/>
      <c r="I367" s="1" t="s">
        <v>50</v>
      </c>
      <c r="J367" s="1" t="s">
        <v>51</v>
      </c>
      <c r="K367" s="1" t="s">
        <v>31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3"/>
        <v>1.0584169000324128</v>
      </c>
      <c r="F368" s="86">
        <f t="shared" si="64"/>
        <v>1351.9890000000028</v>
      </c>
      <c r="G368" s="86">
        <v>209735.815</v>
      </c>
      <c r="H368" s="6"/>
      <c r="I368" s="1" t="s">
        <v>50</v>
      </c>
      <c r="J368" s="1" t="s">
        <v>51</v>
      </c>
      <c r="K368" s="1" t="s">
        <v>31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3"/>
        <v>2.0718264069491421</v>
      </c>
      <c r="F369" s="86">
        <f t="shared" si="64"/>
        <v>1319.1050000000041</v>
      </c>
      <c r="G369" s="86">
        <v>215400.28200000001</v>
      </c>
      <c r="H369" s="6"/>
      <c r="I369" s="1" t="s">
        <v>50</v>
      </c>
      <c r="J369" s="1" t="s">
        <v>51</v>
      </c>
      <c r="K369" s="1" t="s">
        <v>31</v>
      </c>
      <c r="M369" s="6"/>
    </row>
    <row r="370" spans="1:13" hidden="1" collapsed="1" x14ac:dyDescent="0.2">
      <c r="A370" s="83" t="s">
        <v>66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50</v>
      </c>
      <c r="J370" s="1" t="s">
        <v>51</v>
      </c>
      <c r="K370" s="1" t="s">
        <v>31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50</v>
      </c>
      <c r="J371" s="1" t="s">
        <v>51</v>
      </c>
      <c r="K371" s="1" t="s">
        <v>31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v>0.42132190540154463</v>
      </c>
      <c r="F372" s="86">
        <f t="shared" ref="F372:F381" si="65">(G372-G371-D372)</f>
        <v>1310.5489999999995</v>
      </c>
      <c r="G372" s="86">
        <v>218037.71599999999</v>
      </c>
      <c r="H372" s="6"/>
      <c r="I372" s="1" t="s">
        <v>50</v>
      </c>
      <c r="J372" s="1" t="s">
        <v>51</v>
      </c>
      <c r="K372" s="1" t="s">
        <v>31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v>-0.40665395706126373</v>
      </c>
      <c r="F373" s="86">
        <f t="shared" si="65"/>
        <v>1185.7840000000001</v>
      </c>
      <c r="G373" s="86">
        <v>218336.84099999999</v>
      </c>
      <c r="H373" s="6"/>
      <c r="I373" s="1" t="s">
        <v>50</v>
      </c>
      <c r="J373" s="1" t="s">
        <v>51</v>
      </c>
      <c r="K373" s="1" t="s">
        <v>31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v>-0.23849021430148842</v>
      </c>
      <c r="F374" s="86">
        <f t="shared" si="65"/>
        <v>1240.2590000000205</v>
      </c>
      <c r="G374" s="86">
        <v>219056.38800000001</v>
      </c>
      <c r="H374" s="6"/>
      <c r="I374" s="1" t="s">
        <v>50</v>
      </c>
      <c r="J374" s="1" t="s">
        <v>51</v>
      </c>
      <c r="K374" s="1" t="s">
        <v>31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v>0.62799218619454278</v>
      </c>
      <c r="F375" s="86">
        <f t="shared" si="65"/>
        <v>1083.9950000000019</v>
      </c>
      <c r="G375" s="86">
        <v>221516.04</v>
      </c>
      <c r="H375" s="6"/>
      <c r="I375" s="1" t="s">
        <v>50</v>
      </c>
      <c r="J375" s="1" t="s">
        <v>51</v>
      </c>
      <c r="K375" s="1" t="s">
        <v>31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v>0.80843265345480164</v>
      </c>
      <c r="F376" s="86">
        <f t="shared" si="65"/>
        <v>1210.7009999999909</v>
      </c>
      <c r="G376" s="86">
        <v>224517.549</v>
      </c>
      <c r="H376" s="6"/>
      <c r="I376" s="1" t="s">
        <v>50</v>
      </c>
      <c r="J376" s="1" t="s">
        <v>51</v>
      </c>
      <c r="K376" s="1" t="s">
        <v>31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v>2.2707815147224859</v>
      </c>
      <c r="F377" s="86">
        <f t="shared" si="65"/>
        <v>1164.846000000005</v>
      </c>
      <c r="G377" s="86">
        <v>230780.698</v>
      </c>
      <c r="H377" s="6"/>
      <c r="I377" s="1" t="s">
        <v>50</v>
      </c>
      <c r="J377" s="1" t="s">
        <v>51</v>
      </c>
      <c r="K377" s="1" t="s">
        <v>31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v>0.65707791558893724</v>
      </c>
      <c r="F378" s="86">
        <f t="shared" si="65"/>
        <v>1194.752999999982</v>
      </c>
      <c r="G378" s="86">
        <v>233491.86</v>
      </c>
      <c r="H378" s="6"/>
      <c r="I378" s="1" t="s">
        <v>50</v>
      </c>
      <c r="J378" s="1" t="s">
        <v>51</v>
      </c>
      <c r="K378" s="1" t="s">
        <v>31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v>1.5112355522800669</v>
      </c>
      <c r="F379" s="86">
        <f t="shared" si="65"/>
        <v>1153.1390000000183</v>
      </c>
      <c r="G379" s="86">
        <v>238173.611</v>
      </c>
      <c r="H379" s="6"/>
      <c r="I379" s="1" t="s">
        <v>50</v>
      </c>
      <c r="J379" s="1" t="s">
        <v>51</v>
      </c>
      <c r="K379" s="1" t="s">
        <v>31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v>0.28367962225672433</v>
      </c>
      <c r="F380" s="86">
        <f t="shared" si="65"/>
        <v>1172.1329999999957</v>
      </c>
      <c r="G380" s="86">
        <v>240021.394</v>
      </c>
      <c r="H380" s="6"/>
      <c r="I380" s="1" t="s">
        <v>50</v>
      </c>
      <c r="J380" s="1" t="s">
        <v>51</v>
      </c>
      <c r="K380" s="1" t="s">
        <v>31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v>1.6892796912443115</v>
      </c>
      <c r="F381" s="86">
        <f t="shared" si="65"/>
        <v>1203.9439999999959</v>
      </c>
      <c r="G381" s="86">
        <v>245279.946</v>
      </c>
      <c r="H381" s="6"/>
      <c r="I381" s="1" t="s">
        <v>50</v>
      </c>
      <c r="J381" s="1" t="s">
        <v>51</v>
      </c>
      <c r="K381" s="1" t="s">
        <v>31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50</v>
      </c>
      <c r="J382" s="1" t="s">
        <v>51</v>
      </c>
      <c r="K382" s="1" t="s">
        <v>31</v>
      </c>
      <c r="M382" s="6"/>
    </row>
    <row r="383" spans="1:13" hidden="1" collapsed="1" x14ac:dyDescent="0.2">
      <c r="A383" s="83" t="s">
        <v>67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50</v>
      </c>
      <c r="J383" s="1" t="s">
        <v>51</v>
      </c>
      <c r="K383" s="1" t="s">
        <v>31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>(D384/G382)*100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50</v>
      </c>
      <c r="J384" s="1" t="s">
        <v>51</v>
      </c>
      <c r="K384" s="1" t="s">
        <v>31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ref="E385:E395" si="66">D385/G384*100</f>
        <v>0.24127009285370363</v>
      </c>
      <c r="F385" s="86">
        <f t="shared" ref="F385:F395" si="67">(G385-G384-D385)</f>
        <v>1157.4010000000003</v>
      </c>
      <c r="G385" s="86">
        <v>258436.304</v>
      </c>
      <c r="H385" s="6"/>
      <c r="I385" s="1" t="s">
        <v>50</v>
      </c>
      <c r="J385" s="1" t="s">
        <v>51</v>
      </c>
      <c r="K385" s="1" t="s">
        <v>31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6"/>
        <v>2.8246031563738817E-2</v>
      </c>
      <c r="F386" s="86">
        <f t="shared" si="67"/>
        <v>1330.3000000000097</v>
      </c>
      <c r="G386" s="86">
        <v>259839.60200000001</v>
      </c>
      <c r="H386" s="6"/>
      <c r="I386" s="1" t="s">
        <v>50</v>
      </c>
      <c r="J386" s="1" t="s">
        <v>51</v>
      </c>
      <c r="K386" s="1" t="s">
        <v>31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6"/>
        <v>0.45174060880835237</v>
      </c>
      <c r="F387" s="86">
        <f t="shared" si="67"/>
        <v>1292.3070000000075</v>
      </c>
      <c r="G387" s="86">
        <v>262305.71000000002</v>
      </c>
      <c r="H387" s="6"/>
      <c r="I387" s="1" t="s">
        <v>50</v>
      </c>
      <c r="J387" s="1" t="s">
        <v>51</v>
      </c>
      <c r="K387" s="1" t="s">
        <v>31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6"/>
        <v>0.596044592395644</v>
      </c>
      <c r="F388" s="86">
        <f t="shared" si="67"/>
        <v>1276.5429999999785</v>
      </c>
      <c r="G388" s="86">
        <v>265145.712</v>
      </c>
      <c r="H388" s="6"/>
      <c r="I388" s="1" t="s">
        <v>50</v>
      </c>
      <c r="J388" s="1" t="s">
        <v>51</v>
      </c>
      <c r="K388" s="1" t="s">
        <v>31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6"/>
        <v>1.3503537255016971</v>
      </c>
      <c r="F389" s="86">
        <f t="shared" si="67"/>
        <v>1412.4539999999965</v>
      </c>
      <c r="G389" s="86">
        <v>270138.571</v>
      </c>
      <c r="H389" s="6"/>
      <c r="I389" s="1" t="s">
        <v>50</v>
      </c>
      <c r="J389" s="1" t="s">
        <v>51</v>
      </c>
      <c r="K389" s="1" t="s">
        <v>31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6"/>
        <v>1.9740894387125487</v>
      </c>
      <c r="F390" s="86">
        <f t="shared" si="67"/>
        <v>1469.4099999999762</v>
      </c>
      <c r="G390" s="86">
        <v>276940.75799999997</v>
      </c>
      <c r="H390" s="6"/>
      <c r="I390" s="1" t="s">
        <v>50</v>
      </c>
      <c r="J390" s="1" t="s">
        <v>51</v>
      </c>
      <c r="K390" s="1" t="s">
        <v>31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6"/>
        <v>0.42787706965112016</v>
      </c>
      <c r="F391" s="86">
        <f t="shared" si="67"/>
        <v>1555.6380000000504</v>
      </c>
      <c r="G391" s="86">
        <v>279681.36200000002</v>
      </c>
      <c r="H391" s="6"/>
      <c r="I391" s="1" t="s">
        <v>50</v>
      </c>
      <c r="J391" s="1" t="s">
        <v>51</v>
      </c>
      <c r="K391" s="1" t="s">
        <v>31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6"/>
        <v>1.3451793759499782</v>
      </c>
      <c r="F392" s="86">
        <f t="shared" si="67"/>
        <v>1521.5749999999684</v>
      </c>
      <c r="G392" s="86">
        <v>284965.15299999999</v>
      </c>
      <c r="H392" s="6"/>
      <c r="I392" s="1" t="s">
        <v>50</v>
      </c>
      <c r="J392" s="1" t="s">
        <v>51</v>
      </c>
      <c r="K392" s="1" t="s">
        <v>31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6"/>
        <v>0.76229776768530011</v>
      </c>
      <c r="F393" s="86">
        <f t="shared" si="67"/>
        <v>1519.6950000000029</v>
      </c>
      <c r="G393" s="86">
        <v>288657.13099999999</v>
      </c>
      <c r="H393" s="6"/>
      <c r="I393" s="1" t="s">
        <v>50</v>
      </c>
      <c r="J393" s="1" t="s">
        <v>51</v>
      </c>
      <c r="K393" s="1" t="s">
        <v>31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6"/>
        <v>1.1813063436842655</v>
      </c>
      <c r="F394" s="86">
        <f t="shared" si="67"/>
        <v>1493.4029999999793</v>
      </c>
      <c r="G394" s="86">
        <v>293560.45899999997</v>
      </c>
      <c r="H394" s="6"/>
      <c r="I394" s="1" t="s">
        <v>50</v>
      </c>
      <c r="J394" s="1" t="s">
        <v>51</v>
      </c>
      <c r="K394" s="1" t="s">
        <v>31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6"/>
        <v>1.6356627239092851</v>
      </c>
      <c r="F395" s="86">
        <f t="shared" si="67"/>
        <v>1516.0990000000311</v>
      </c>
      <c r="G395" s="86">
        <v>299878.217</v>
      </c>
      <c r="H395" s="6"/>
      <c r="I395" s="1" t="s">
        <v>50</v>
      </c>
      <c r="J395" s="1" t="s">
        <v>51</v>
      </c>
      <c r="K395" s="1" t="s">
        <v>31</v>
      </c>
      <c r="M395" s="6"/>
    </row>
    <row r="396" spans="1:13" hidden="1" collapsed="1" x14ac:dyDescent="0.2">
      <c r="A396" s="83" t="s">
        <v>68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50</v>
      </c>
      <c r="J396" s="1" t="s">
        <v>51</v>
      </c>
      <c r="K396" s="1" t="s">
        <v>31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8">B397-C397</f>
        <v>-194.31200000000536</v>
      </c>
      <c r="E397" s="92">
        <f>(D397/G395)*100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50</v>
      </c>
      <c r="J397" s="1" t="s">
        <v>51</v>
      </c>
      <c r="K397" s="1" t="s">
        <v>31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8"/>
        <v>-359.34900000000198</v>
      </c>
      <c r="E398" s="92">
        <f t="shared" ref="E398:E403" si="69">(D398/G397)*100</f>
        <v>-0.11923041036832589</v>
      </c>
      <c r="F398" s="86">
        <f t="shared" ref="F398:F406" si="70">(G398-G397-D398)</f>
        <v>1683.208999999988</v>
      </c>
      <c r="G398" s="86">
        <v>302714.25099999999</v>
      </c>
      <c r="H398" s="6"/>
      <c r="I398" s="1" t="s">
        <v>50</v>
      </c>
      <c r="J398" s="1" t="s">
        <v>51</v>
      </c>
      <c r="K398" s="1" t="s">
        <v>31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8"/>
        <v>463.47999999999593</v>
      </c>
      <c r="E399" s="92">
        <f t="shared" si="69"/>
        <v>0.15310808740220028</v>
      </c>
      <c r="F399" s="86">
        <f t="shared" si="70"/>
        <v>1531.3419999999896</v>
      </c>
      <c r="G399" s="86">
        <v>304709.07299999997</v>
      </c>
      <c r="H399" s="6"/>
      <c r="I399" s="1" t="s">
        <v>50</v>
      </c>
      <c r="J399" s="1" t="s">
        <v>51</v>
      </c>
      <c r="K399" s="1" t="s">
        <v>31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8"/>
        <v>-604.89599999999336</v>
      </c>
      <c r="E400" s="92">
        <f t="shared" si="69"/>
        <v>-0.19851591357110443</v>
      </c>
      <c r="F400" s="86">
        <f t="shared" si="70"/>
        <v>1763.6180000000022</v>
      </c>
      <c r="G400" s="86">
        <v>305867.79499999998</v>
      </c>
      <c r="H400" s="6"/>
      <c r="I400" s="1" t="s">
        <v>50</v>
      </c>
      <c r="J400" s="1" t="s">
        <v>51</v>
      </c>
      <c r="K400" s="1" t="s">
        <v>31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8"/>
        <v>-645.99499999999534</v>
      </c>
      <c r="E401" s="92">
        <f t="shared" si="69"/>
        <v>-0.2112007248098792</v>
      </c>
      <c r="F401" s="86">
        <f t="shared" si="70"/>
        <v>1637.0130000000354</v>
      </c>
      <c r="G401" s="86">
        <v>306858.81300000002</v>
      </c>
      <c r="H401" s="6"/>
      <c r="I401" s="1" t="s">
        <v>50</v>
      </c>
      <c r="J401" s="1" t="s">
        <v>51</v>
      </c>
      <c r="K401" s="1" t="s">
        <v>31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8"/>
        <v>1194.1260000000038</v>
      </c>
      <c r="E402" s="92">
        <f t="shared" si="69"/>
        <v>0.38914508868937187</v>
      </c>
      <c r="F402" s="86">
        <f t="shared" si="70"/>
        <v>1864.5489999999845</v>
      </c>
      <c r="G402" s="86">
        <v>309917.48800000001</v>
      </c>
      <c r="H402" s="6"/>
      <c r="I402" s="1" t="s">
        <v>50</v>
      </c>
      <c r="J402" s="1" t="s">
        <v>51</v>
      </c>
      <c r="K402" s="1" t="s">
        <v>31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71">B403-C403</f>
        <v>4132.8439999999973</v>
      </c>
      <c r="E403" s="92">
        <f t="shared" si="69"/>
        <v>1.3335304266534314</v>
      </c>
      <c r="F403" s="86">
        <f t="shared" si="70"/>
        <v>1790.4499999999971</v>
      </c>
      <c r="G403" s="86">
        <v>315840.78200000001</v>
      </c>
      <c r="H403" s="6"/>
      <c r="I403" s="1" t="s">
        <v>50</v>
      </c>
      <c r="J403" s="1" t="s">
        <v>51</v>
      </c>
      <c r="K403" s="1" t="s">
        <v>31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71"/>
        <v>911.70299999999406</v>
      </c>
      <c r="E404" s="92">
        <f>(D404/G403)*100</f>
        <v>0.28865904973601353</v>
      </c>
      <c r="F404" s="86">
        <f t="shared" si="70"/>
        <v>1937.2740000000194</v>
      </c>
      <c r="G404" s="86">
        <v>318689.75900000002</v>
      </c>
      <c r="H404" s="6"/>
      <c r="I404" s="1" t="s">
        <v>50</v>
      </c>
      <c r="J404" s="1" t="s">
        <v>51</v>
      </c>
      <c r="K404" s="1" t="s">
        <v>31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71"/>
        <v>2806.2299999999959</v>
      </c>
      <c r="E405" s="92">
        <f>(D405/G404)*100</f>
        <v>0.88055229914055566</v>
      </c>
      <c r="F405" s="86">
        <f t="shared" si="70"/>
        <v>1972.0879999999743</v>
      </c>
      <c r="G405" s="86">
        <v>323468.07699999999</v>
      </c>
      <c r="H405" s="6"/>
      <c r="I405" s="1" t="s">
        <v>50</v>
      </c>
      <c r="J405" s="1" t="s">
        <v>51</v>
      </c>
      <c r="K405" s="1" t="s">
        <v>31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71"/>
        <v>481.63999999999942</v>
      </c>
      <c r="E406" s="92">
        <f>(D406/G405)*100</f>
        <v>0.14889877371113794</v>
      </c>
      <c r="F406" s="86">
        <f t="shared" si="70"/>
        <v>1865.9639999999927</v>
      </c>
      <c r="G406" s="86">
        <v>325815.68099999998</v>
      </c>
      <c r="H406" s="6"/>
      <c r="I406" s="1" t="s">
        <v>50</v>
      </c>
      <c r="J406" s="1" t="s">
        <v>51</v>
      </c>
      <c r="K406" s="1" t="s">
        <v>31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71"/>
        <v>-21.99199999999837</v>
      </c>
      <c r="E407" s="92">
        <f>(D407/G406)*100</f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50</v>
      </c>
      <c r="J407" s="1" t="s">
        <v>51</v>
      </c>
      <c r="K407" s="1" t="s">
        <v>31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71"/>
        <v>1219.4530000000232</v>
      </c>
      <c r="E408" s="92">
        <f>(D408/G407)*100</f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50</v>
      </c>
      <c r="J408" s="1" t="s">
        <v>51</v>
      </c>
      <c r="K408" s="1" t="s">
        <v>31</v>
      </c>
      <c r="M408" s="6"/>
    </row>
    <row r="409" spans="1:13" hidden="1" collapsed="1" x14ac:dyDescent="0.2">
      <c r="A409" s="83" t="s">
        <v>69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50</v>
      </c>
      <c r="J409" s="1" t="s">
        <v>51</v>
      </c>
      <c r="K409" s="1" t="s">
        <v>31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2">B410-C410</f>
        <v>-407.31600000000617</v>
      </c>
      <c r="E410" s="92">
        <f>(D410/G408)*100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50</v>
      </c>
      <c r="J410" s="1" t="s">
        <v>51</v>
      </c>
      <c r="K410" s="1" t="s">
        <v>31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2"/>
        <v>-209.66599999999744</v>
      </c>
      <c r="E411" s="92">
        <f t="shared" ref="E411:E416" si="73">(D411/G410)*100</f>
        <v>-6.3144817044889501E-2</v>
      </c>
      <c r="F411" s="86">
        <v>1841.075</v>
      </c>
      <c r="G411" s="86">
        <v>333671.34000000003</v>
      </c>
      <c r="H411" s="6"/>
      <c r="I411" s="1" t="s">
        <v>50</v>
      </c>
      <c r="J411" s="1" t="s">
        <v>51</v>
      </c>
      <c r="K411" s="1" t="s">
        <v>31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2"/>
        <v>2527.25</v>
      </c>
      <c r="E412" s="92">
        <f t="shared" si="73"/>
        <v>0.75740697418004188</v>
      </c>
      <c r="F412" s="86">
        <f t="shared" ref="F412:F420" si="74">(G412-G411-D412)</f>
        <v>1664.4400000000023</v>
      </c>
      <c r="G412" s="86">
        <v>337863.03</v>
      </c>
      <c r="H412" s="6"/>
      <c r="I412" s="1" t="s">
        <v>50</v>
      </c>
      <c r="J412" s="1" t="s">
        <v>51</v>
      </c>
      <c r="K412" s="1" t="s">
        <v>31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2"/>
        <v>1542.1169999999984</v>
      </c>
      <c r="E413" s="92">
        <f t="shared" si="73"/>
        <v>0.45643259636900735</v>
      </c>
      <c r="F413" s="86">
        <f t="shared" si="74"/>
        <v>1841.8229999999458</v>
      </c>
      <c r="G413" s="86">
        <v>341246.97</v>
      </c>
      <c r="H413" s="6"/>
      <c r="I413" s="1" t="s">
        <v>50</v>
      </c>
      <c r="J413" s="1" t="s">
        <v>51</v>
      </c>
      <c r="K413" s="1" t="s">
        <v>31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2"/>
        <v>4919.7509999999893</v>
      </c>
      <c r="E414" s="92">
        <f t="shared" si="73"/>
        <v>1.4416980757367575</v>
      </c>
      <c r="F414" s="86">
        <f t="shared" si="74"/>
        <v>1679.9160000000265</v>
      </c>
      <c r="G414" s="86">
        <v>347846.63699999999</v>
      </c>
      <c r="H414" s="6"/>
      <c r="I414" s="1" t="s">
        <v>50</v>
      </c>
      <c r="J414" s="1" t="s">
        <v>51</v>
      </c>
      <c r="K414" s="1" t="s">
        <v>31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2"/>
        <v>4095.0420000000013</v>
      </c>
      <c r="E415" s="92">
        <f t="shared" si="73"/>
        <v>1.1772550211546249</v>
      </c>
      <c r="F415" s="86">
        <f t="shared" si="74"/>
        <v>1731.3939999999857</v>
      </c>
      <c r="G415" s="86">
        <v>353673.07299999997</v>
      </c>
      <c r="H415" s="6"/>
      <c r="I415" s="1" t="s">
        <v>50</v>
      </c>
      <c r="J415" s="1" t="s">
        <v>51</v>
      </c>
      <c r="K415" s="1" t="s">
        <v>31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2"/>
        <v>6048.5899999999965</v>
      </c>
      <c r="E416" s="92">
        <f t="shared" si="73"/>
        <v>1.7102206703759992</v>
      </c>
      <c r="F416" s="86">
        <f t="shared" si="74"/>
        <v>1687.3220000000147</v>
      </c>
      <c r="G416" s="86">
        <v>361408.98499999999</v>
      </c>
      <c r="H416" s="6"/>
      <c r="I416" s="1" t="s">
        <v>50</v>
      </c>
      <c r="J416" s="1" t="s">
        <v>51</v>
      </c>
      <c r="K416" s="1" t="s">
        <v>31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2"/>
        <v>2110.531999999992</v>
      </c>
      <c r="E417" s="92">
        <f>(D417/G416)*100</f>
        <v>0.58397330658505686</v>
      </c>
      <c r="F417" s="86">
        <f t="shared" si="74"/>
        <v>1721.0399999999936</v>
      </c>
      <c r="G417" s="86">
        <v>365240.55699999997</v>
      </c>
      <c r="H417" s="6"/>
      <c r="I417" s="1" t="s">
        <v>50</v>
      </c>
      <c r="J417" s="1" t="s">
        <v>51</v>
      </c>
      <c r="K417" s="1" t="s">
        <v>31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2"/>
        <v>4268.3549999999959</v>
      </c>
      <c r="E418" s="92">
        <f>(D418/G417)*100</f>
        <v>1.1686421231692505</v>
      </c>
      <c r="F418" s="86">
        <f t="shared" si="74"/>
        <v>1704.5830000000278</v>
      </c>
      <c r="G418" s="86">
        <v>371213.495</v>
      </c>
      <c r="H418" s="6"/>
      <c r="I418" s="1" t="s">
        <v>50</v>
      </c>
      <c r="J418" s="1" t="s">
        <v>51</v>
      </c>
      <c r="K418" s="1" t="s">
        <v>31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2"/>
        <v>2185.0509999999922</v>
      </c>
      <c r="E419" s="92">
        <f>(D419/G418)*100</f>
        <v>0.58862380528487857</v>
      </c>
      <c r="F419" s="86">
        <f t="shared" si="74"/>
        <v>1687.0770000000339</v>
      </c>
      <c r="G419" s="86">
        <v>375085.62300000002</v>
      </c>
      <c r="H419" s="6"/>
      <c r="I419" s="1" t="s">
        <v>50</v>
      </c>
      <c r="J419" s="1" t="s">
        <v>51</v>
      </c>
      <c r="K419" s="1" t="s">
        <v>31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2"/>
        <v>3285.8959999999934</v>
      </c>
      <c r="E420" s="92">
        <f>(D420/G419)*100</f>
        <v>0.87603890912128968</v>
      </c>
      <c r="F420" s="86">
        <f t="shared" si="74"/>
        <v>1696.5969999999652</v>
      </c>
      <c r="G420" s="86">
        <v>380068.11599999998</v>
      </c>
      <c r="H420" s="6"/>
      <c r="I420" s="1" t="s">
        <v>50</v>
      </c>
      <c r="J420" s="1" t="s">
        <v>51</v>
      </c>
      <c r="K420" s="1" t="s">
        <v>31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2"/>
        <v>6873.9729999999981</v>
      </c>
      <c r="E421" s="92">
        <f>(D421/G420)*100</f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50</v>
      </c>
      <c r="J421" s="1" t="s">
        <v>51</v>
      </c>
      <c r="K421" s="1" t="s">
        <v>31</v>
      </c>
      <c r="M421" s="6"/>
    </row>
    <row r="422" spans="1:13" hidden="1" collapsed="1" x14ac:dyDescent="0.2">
      <c r="A422" s="83" t="s">
        <v>70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50</v>
      </c>
      <c r="J422" s="1" t="s">
        <v>51</v>
      </c>
      <c r="K422" s="1" t="s">
        <v>31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5">B423-C423</f>
        <v>983.9950000000099</v>
      </c>
      <c r="E423" s="92">
        <f t="shared" ref="E423:E429" si="76">(D423/G422)*100</f>
        <v>0.25318824413631957</v>
      </c>
      <c r="F423" s="86">
        <f t="shared" ref="F423:F429" si="77">(G423-G422-D423)</f>
        <v>1745.1290000000008</v>
      </c>
      <c r="G423" s="86">
        <v>391370.78600000002</v>
      </c>
      <c r="H423" s="6"/>
      <c r="I423" s="1" t="s">
        <v>50</v>
      </c>
      <c r="J423" s="1" t="s">
        <v>51</v>
      </c>
      <c r="K423" s="1" t="s">
        <v>31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5"/>
        <v>1750.9700000000012</v>
      </c>
      <c r="E424" s="92">
        <f t="shared" si="76"/>
        <v>0.44739414964917718</v>
      </c>
      <c r="F424" s="86">
        <f t="shared" si="77"/>
        <v>1954.698000000004</v>
      </c>
      <c r="G424" s="86">
        <v>395076.45400000003</v>
      </c>
      <c r="H424" s="6"/>
      <c r="I424" s="1" t="s">
        <v>50</v>
      </c>
      <c r="J424" s="1" t="s">
        <v>51</v>
      </c>
      <c r="K424" s="1" t="s">
        <v>31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5"/>
        <v>4523.5380000000005</v>
      </c>
      <c r="E425" s="92">
        <f t="shared" si="76"/>
        <v>1.1449778781298874</v>
      </c>
      <c r="F425" s="86">
        <f t="shared" si="77"/>
        <v>1766.9069999999483</v>
      </c>
      <c r="G425" s="86">
        <v>401366.89899999998</v>
      </c>
      <c r="H425" s="6"/>
      <c r="I425" s="1" t="s">
        <v>50</v>
      </c>
      <c r="J425" s="1" t="s">
        <v>51</v>
      </c>
      <c r="K425" s="1" t="s">
        <v>31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5"/>
        <v>1791.5690000000031</v>
      </c>
      <c r="E426" s="92">
        <f t="shared" si="76"/>
        <v>0.44636690381386018</v>
      </c>
      <c r="F426" s="86">
        <f t="shared" si="77"/>
        <v>1777.172000000035</v>
      </c>
      <c r="G426" s="86">
        <v>404935.64</v>
      </c>
      <c r="H426" s="6"/>
      <c r="I426" s="1" t="s">
        <v>50</v>
      </c>
      <c r="J426" s="1" t="s">
        <v>51</v>
      </c>
      <c r="K426" s="1" t="s">
        <v>31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5"/>
        <v>4205.2250000000058</v>
      </c>
      <c r="E427" s="92">
        <f t="shared" si="76"/>
        <v>1.0384921910059597</v>
      </c>
      <c r="F427" s="86">
        <f t="shared" si="77"/>
        <v>1789.0319999999774</v>
      </c>
      <c r="G427" s="86">
        <v>410929.897</v>
      </c>
      <c r="H427" s="6"/>
      <c r="I427" s="1" t="s">
        <v>50</v>
      </c>
      <c r="J427" s="1" t="s">
        <v>51</v>
      </c>
      <c r="K427" s="1" t="s">
        <v>31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5"/>
        <v>6711.3179999999993</v>
      </c>
      <c r="E428" s="92">
        <f t="shared" si="76"/>
        <v>1.6332026579219665</v>
      </c>
      <c r="F428" s="86">
        <f t="shared" si="77"/>
        <v>1826.30799999999</v>
      </c>
      <c r="G428" s="86">
        <v>419467.52299999999</v>
      </c>
      <c r="H428" s="6"/>
      <c r="I428" s="1" t="s">
        <v>50</v>
      </c>
      <c r="J428" s="1" t="s">
        <v>51</v>
      </c>
      <c r="K428" s="1" t="s">
        <v>31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5"/>
        <v>7886.929999999993</v>
      </c>
      <c r="E429" s="92">
        <f t="shared" si="76"/>
        <v>1.8802242289446551</v>
      </c>
      <c r="F429" s="86">
        <f t="shared" si="77"/>
        <v>1888.5310000000172</v>
      </c>
      <c r="G429" s="86">
        <v>429242.984</v>
      </c>
      <c r="H429" s="6"/>
      <c r="I429" s="1" t="s">
        <v>50</v>
      </c>
      <c r="J429" s="1" t="s">
        <v>51</v>
      </c>
      <c r="K429" s="1" t="s">
        <v>31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>(D430/G429)*100</f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50</v>
      </c>
      <c r="J430" s="1" t="s">
        <v>51</v>
      </c>
      <c r="K430" s="1" t="s">
        <v>31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>(D431/G430)*100</f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50</v>
      </c>
      <c r="J431" s="1" t="s">
        <v>51</v>
      </c>
      <c r="K431" s="1" t="s">
        <v>31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>(D432/G431)*100</f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50</v>
      </c>
      <c r="J432" s="1" t="s">
        <v>51</v>
      </c>
      <c r="K432" s="1" t="s">
        <v>31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>(D433/G432)*100</f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50</v>
      </c>
      <c r="J433" s="1" t="s">
        <v>51</v>
      </c>
      <c r="K433" s="1" t="s">
        <v>31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>(D434/G433)*100</f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50</v>
      </c>
      <c r="J434" s="1" t="s">
        <v>51</v>
      </c>
      <c r="K434" s="1" t="s">
        <v>31</v>
      </c>
      <c r="M434" s="6"/>
    </row>
    <row r="435" spans="1:18" hidden="1" collapsed="1" x14ac:dyDescent="0.2">
      <c r="A435" s="83" t="s">
        <v>71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50</v>
      </c>
      <c r="J435" s="1" t="s">
        <v>51</v>
      </c>
      <c r="K435" s="1" t="s">
        <v>31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8">B436-C436</f>
        <v>710.64400000000023</v>
      </c>
      <c r="E436" s="92">
        <f>IF(G435="","",(D436/G435)*100)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50</v>
      </c>
      <c r="J436" s="1" t="s">
        <v>51</v>
      </c>
      <c r="K436" s="1" t="s">
        <v>31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8"/>
        <v>1924.7299999999959</v>
      </c>
      <c r="E437" s="92">
        <f>IF(G436="",0,(D437/G436)*100)</f>
        <v>0.40958492784325939</v>
      </c>
      <c r="F437" s="86">
        <f t="shared" ref="F437:F447" si="79">IF(G437="",0,(G437-G436-D437))</f>
        <v>2686.9609999999957</v>
      </c>
      <c r="G437" s="86">
        <v>474533.76799999998</v>
      </c>
      <c r="H437" s="6"/>
      <c r="I437" s="1" t="s">
        <v>50</v>
      </c>
      <c r="J437" s="1" t="s">
        <v>51</v>
      </c>
      <c r="K437" s="1" t="s">
        <v>31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8"/>
        <v>1708.8359999999957</v>
      </c>
      <c r="E438" s="92">
        <f t="shared" ref="E438:E447" si="80">IF(G437="",0,(D438/G437)*100)</f>
        <v>0.36010840855481452</v>
      </c>
      <c r="F438" s="86">
        <f t="shared" si="79"/>
        <v>2348.5310000000318</v>
      </c>
      <c r="G438" s="86">
        <v>478591.13500000001</v>
      </c>
      <c r="H438" s="6"/>
      <c r="I438" s="1" t="s">
        <v>50</v>
      </c>
      <c r="J438" s="1" t="s">
        <v>51</v>
      </c>
      <c r="K438" s="1" t="s">
        <v>31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8"/>
        <v>-735.67500000000291</v>
      </c>
      <c r="E439" s="92">
        <f t="shared" si="80"/>
        <v>-0.15371680463742873</v>
      </c>
      <c r="F439" s="86">
        <f t="shared" si="79"/>
        <v>2609.4560000000201</v>
      </c>
      <c r="G439" s="86">
        <v>480464.91600000003</v>
      </c>
      <c r="H439" s="6"/>
      <c r="I439" s="1" t="s">
        <v>50</v>
      </c>
      <c r="J439" s="1" t="s">
        <v>51</v>
      </c>
      <c r="K439" s="1" t="s">
        <v>31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8"/>
        <v>2178.0900000000111</v>
      </c>
      <c r="E440" s="92">
        <f t="shared" si="80"/>
        <v>0.45332966621854465</v>
      </c>
      <c r="F440" s="86">
        <f t="shared" si="79"/>
        <v>2394.1539999999368</v>
      </c>
      <c r="G440" s="86">
        <v>485037.16</v>
      </c>
      <c r="H440" s="6"/>
      <c r="I440" s="1" t="s">
        <v>50</v>
      </c>
      <c r="J440" s="1" t="s">
        <v>51</v>
      </c>
      <c r="K440" s="1" t="s">
        <v>31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8"/>
        <v>2539.5200000000041</v>
      </c>
      <c r="E441" s="92">
        <f t="shared" si="80"/>
        <v>0.52357225578345468</v>
      </c>
      <c r="F441" s="86">
        <f t="shared" si="79"/>
        <v>2664.4100000000471</v>
      </c>
      <c r="G441" s="86">
        <v>490241.09</v>
      </c>
      <c r="H441" s="6"/>
      <c r="I441" s="1" t="s">
        <v>50</v>
      </c>
      <c r="J441" s="1" t="s">
        <v>51</v>
      </c>
      <c r="K441" s="1" t="s">
        <v>31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8"/>
        <v>2867.7949999999983</v>
      </c>
      <c r="E442" s="92">
        <f t="shared" si="80"/>
        <v>0.58497646535503545</v>
      </c>
      <c r="F442" s="86">
        <f t="shared" si="79"/>
        <v>2616.9879999999976</v>
      </c>
      <c r="G442" s="86">
        <v>495725.87300000002</v>
      </c>
      <c r="H442" s="6"/>
      <c r="I442" s="1" t="s">
        <v>50</v>
      </c>
      <c r="J442" s="1" t="s">
        <v>51</v>
      </c>
      <c r="K442" s="1" t="s">
        <v>31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80"/>
        <v>0.19073686718788468</v>
      </c>
      <c r="F443" s="86">
        <f t="shared" si="79"/>
        <v>2809.4240000000136</v>
      </c>
      <c r="G443" s="86">
        <v>499480.82900000003</v>
      </c>
      <c r="H443" s="6"/>
      <c r="I443" s="1" t="s">
        <v>50</v>
      </c>
      <c r="J443" s="1" t="s">
        <v>51</v>
      </c>
      <c r="K443" s="1" t="s">
        <v>31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80"/>
        <v>0.33919279812839592</v>
      </c>
      <c r="F444" s="86">
        <f t="shared" si="79"/>
        <v>2777.8749999999709</v>
      </c>
      <c r="G444" s="86">
        <v>503952.90700000001</v>
      </c>
      <c r="H444" s="6"/>
      <c r="I444" s="1" t="s">
        <v>50</v>
      </c>
      <c r="J444" s="1" t="s">
        <v>51</v>
      </c>
      <c r="K444" s="1" t="s">
        <v>31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80"/>
        <v>0.30596231881642916</v>
      </c>
      <c r="F445" s="86">
        <f t="shared" si="79"/>
        <v>2776.9579999999987</v>
      </c>
      <c r="G445" s="86">
        <v>508271.77100000001</v>
      </c>
      <c r="H445" s="6"/>
      <c r="I445" s="1" t="s">
        <v>50</v>
      </c>
      <c r="J445" s="1" t="s">
        <v>51</v>
      </c>
      <c r="K445" s="1" t="s">
        <v>31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80"/>
        <v>0.7098257676010099</v>
      </c>
      <c r="F446" s="86">
        <f t="shared" si="79"/>
        <v>2891.9270000000106</v>
      </c>
      <c r="G446" s="86">
        <v>514771.54200000002</v>
      </c>
      <c r="H446" s="6"/>
      <c r="I446" s="1" t="s">
        <v>50</v>
      </c>
      <c r="J446" s="1" t="s">
        <v>51</v>
      </c>
      <c r="K446" s="1" t="s">
        <v>31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80"/>
        <v>0.92762179149367219</v>
      </c>
      <c r="F447" s="86">
        <f t="shared" si="79"/>
        <v>2796.8259999999718</v>
      </c>
      <c r="G447" s="86">
        <v>522343.50099999999</v>
      </c>
      <c r="H447" s="6"/>
      <c r="I447" s="1" t="s">
        <v>50</v>
      </c>
      <c r="J447" s="1" t="s">
        <v>51</v>
      </c>
      <c r="K447" s="1" t="s">
        <v>31</v>
      </c>
      <c r="M447" s="6"/>
    </row>
    <row r="448" spans="1:18" hidden="1" collapsed="1" x14ac:dyDescent="0.2">
      <c r="A448" s="83" t="s">
        <v>72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50</v>
      </c>
      <c r="J448" s="1" t="s">
        <v>51</v>
      </c>
      <c r="K448" s="1" t="s">
        <v>31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81">B449-C449</f>
        <v>-4453.6860000000015</v>
      </c>
      <c r="E449" s="92">
        <f>IF(G448="","",(D449/G448)*100)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50</v>
      </c>
      <c r="J449" s="1" t="s">
        <v>51</v>
      </c>
      <c r="K449" s="1" t="s">
        <v>31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81"/>
        <v>-4871.5390000000043</v>
      </c>
      <c r="E450" s="92">
        <f>IF(G449="",0,(D450/G449)*100)</f>
        <v>-0.9355708033672292</v>
      </c>
      <c r="F450" s="86">
        <f t="shared" ref="F450:F460" si="82">IF(G450="",0,(G450-G449-D450))</f>
        <v>2888.4570000000094</v>
      </c>
      <c r="G450" s="86">
        <v>518719.25099999999</v>
      </c>
      <c r="H450" s="6"/>
      <c r="I450" s="1" t="s">
        <v>50</v>
      </c>
      <c r="J450" s="1" t="s">
        <v>51</v>
      </c>
      <c r="K450" s="1" t="s">
        <v>31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81"/>
        <v>-9201.4009999999835</v>
      </c>
      <c r="E451" s="92">
        <f t="shared" ref="E451:E460" si="83">IF(G450="",0,(D451/G450)*100)</f>
        <v>-1.7738691946098573</v>
      </c>
      <c r="F451" s="86">
        <f t="shared" si="82"/>
        <v>2784.0199999999895</v>
      </c>
      <c r="G451" s="86">
        <v>512301.87</v>
      </c>
      <c r="H451" s="6"/>
      <c r="I451" s="1" t="s">
        <v>50</v>
      </c>
      <c r="J451" s="1" t="s">
        <v>51</v>
      </c>
      <c r="K451" s="1" t="s">
        <v>31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81"/>
        <v>-5226.2890000000043</v>
      </c>
      <c r="E452" s="92">
        <f t="shared" si="83"/>
        <v>-1.0201580954603982</v>
      </c>
      <c r="F452" s="86">
        <f t="shared" si="82"/>
        <v>3040.4799999999959</v>
      </c>
      <c r="G452" s="86">
        <v>510116.06099999999</v>
      </c>
      <c r="H452" s="6"/>
      <c r="I452" s="1" t="s">
        <v>50</v>
      </c>
      <c r="J452" s="1" t="s">
        <v>51</v>
      </c>
      <c r="K452" s="1" t="s">
        <v>31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81"/>
        <v>-5287.2299999999959</v>
      </c>
      <c r="E453" s="92">
        <f t="shared" si="83"/>
        <v>-1.0364758932771567</v>
      </c>
      <c r="F453" s="86">
        <f t="shared" si="82"/>
        <v>2874.7720000000118</v>
      </c>
      <c r="G453" s="86">
        <v>507703.603</v>
      </c>
      <c r="H453" s="6"/>
      <c r="I453" s="1" t="s">
        <v>50</v>
      </c>
      <c r="J453" s="1" t="s">
        <v>51</v>
      </c>
      <c r="K453" s="1" t="s">
        <v>31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81"/>
        <v>-7115.0159999999742</v>
      </c>
      <c r="E454" s="92">
        <f t="shared" si="83"/>
        <v>-1.401411366387324</v>
      </c>
      <c r="F454" s="86">
        <f t="shared" si="82"/>
        <v>3168.5549999999639</v>
      </c>
      <c r="G454" s="86">
        <v>503757.14199999999</v>
      </c>
      <c r="H454" s="6"/>
      <c r="I454" s="1" t="s">
        <v>50</v>
      </c>
      <c r="J454" s="1" t="s">
        <v>51</v>
      </c>
      <c r="K454" s="1" t="s">
        <v>31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81"/>
        <v>-2372.609999999986</v>
      </c>
      <c r="E455" s="92">
        <f t="shared" si="83"/>
        <v>-0.47098290072480725</v>
      </c>
      <c r="F455" s="86">
        <f t="shared" si="82"/>
        <v>3225.335000000021</v>
      </c>
      <c r="G455" s="86">
        <v>504609.86700000003</v>
      </c>
      <c r="H455" s="6"/>
      <c r="I455" s="1" t="s">
        <v>50</v>
      </c>
      <c r="J455" s="1" t="s">
        <v>51</v>
      </c>
      <c r="K455" s="1" t="s">
        <v>31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3"/>
        <v>-1.433139039272888</v>
      </c>
      <c r="F456" s="86">
        <f t="shared" si="82"/>
        <v>3403.3289999999688</v>
      </c>
      <c r="G456" s="86">
        <v>500781.435</v>
      </c>
      <c r="H456" s="6"/>
      <c r="I456" s="1" t="s">
        <v>50</v>
      </c>
      <c r="J456" s="1" t="s">
        <v>51</v>
      </c>
      <c r="K456" s="1" t="s">
        <v>31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3"/>
        <v>-1.0736725893203283</v>
      </c>
      <c r="F457" s="86">
        <f t="shared" si="82"/>
        <v>3281.2549999999756</v>
      </c>
      <c r="G457" s="86">
        <v>498685.93699999998</v>
      </c>
      <c r="H457" s="6"/>
      <c r="I457" s="1" t="s">
        <v>50</v>
      </c>
      <c r="J457" s="1" t="s">
        <v>51</v>
      </c>
      <c r="K457" s="1" t="s">
        <v>31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3"/>
        <v>-0.56987089250924861</v>
      </c>
      <c r="F458" s="86">
        <f t="shared" si="82"/>
        <v>3148.8430000000226</v>
      </c>
      <c r="G458" s="86">
        <v>498992.91399999999</v>
      </c>
      <c r="H458" s="6"/>
      <c r="I458" s="1" t="s">
        <v>50</v>
      </c>
      <c r="J458" s="1" t="s">
        <v>51</v>
      </c>
      <c r="K458" s="1" t="s">
        <v>31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3"/>
        <v>-0.19273961072722015</v>
      </c>
      <c r="F459" s="86">
        <f t="shared" si="82"/>
        <v>3160.262000000017</v>
      </c>
      <c r="G459" s="86">
        <v>501191.41899999999</v>
      </c>
      <c r="H459" s="6"/>
      <c r="I459" s="1" t="s">
        <v>50</v>
      </c>
      <c r="J459" s="1" t="s">
        <v>51</v>
      </c>
      <c r="K459" s="1" t="s">
        <v>31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3"/>
        <v>0.95583140859800164</v>
      </c>
      <c r="F460" s="86">
        <f t="shared" si="82"/>
        <v>3241.0799999999872</v>
      </c>
      <c r="G460" s="86">
        <v>509223.04399999999</v>
      </c>
      <c r="H460" s="6"/>
      <c r="I460" s="1" t="s">
        <v>50</v>
      </c>
      <c r="J460" s="1" t="s">
        <v>51</v>
      </c>
      <c r="K460" s="1" t="s">
        <v>31</v>
      </c>
      <c r="M460" s="6"/>
    </row>
    <row r="461" spans="1:13" hidden="1" collapsed="1" x14ac:dyDescent="0.2">
      <c r="A461" s="83" t="s">
        <v>73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4">B462-C462</f>
        <v>-9521.8559999999998</v>
      </c>
      <c r="E462" s="92">
        <f>IF(G461="","",(D462/G461)*100)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50</v>
      </c>
      <c r="J462" s="1" t="s">
        <v>51</v>
      </c>
      <c r="K462" s="1" t="s">
        <v>31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4"/>
        <v>-6734.5059999999939</v>
      </c>
      <c r="E463" s="92">
        <f>IF(G462="",0,(D463/G462)*100)</f>
        <v>-1.3392322046326042</v>
      </c>
      <c r="F463" s="86">
        <f t="shared" ref="F463:F473" si="85">IF(G463="",0,(G463-G462-D463))</f>
        <v>3162.3250000000116</v>
      </c>
      <c r="G463" s="86">
        <v>499291.02500000002</v>
      </c>
      <c r="H463" s="6"/>
      <c r="I463" s="1" t="s">
        <v>50</v>
      </c>
      <c r="J463" s="1" t="s">
        <v>51</v>
      </c>
      <c r="K463" s="1" t="s">
        <v>31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4"/>
        <v>-5184.4769999999844</v>
      </c>
      <c r="E464" s="92">
        <f t="shared" ref="E464:E473" si="86">IF(G463="",0,(D464/G463)*100)</f>
        <v>-1.0383677535561517</v>
      </c>
      <c r="F464" s="86">
        <f t="shared" si="85"/>
        <v>3016.3819999999541</v>
      </c>
      <c r="G464" s="86">
        <v>497122.93</v>
      </c>
      <c r="H464" s="6"/>
      <c r="I464" s="1" t="s">
        <v>50</v>
      </c>
      <c r="J464" s="1" t="s">
        <v>51</v>
      </c>
      <c r="K464" s="1" t="s">
        <v>31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4"/>
        <v>-6304.6440000000002</v>
      </c>
      <c r="E465" s="92">
        <f t="shared" si="86"/>
        <v>-1.268226351980988</v>
      </c>
      <c r="F465" s="86">
        <f t="shared" si="85"/>
        <v>3186.9549999999872</v>
      </c>
      <c r="G465" s="86">
        <v>494005.24099999998</v>
      </c>
      <c r="H465" s="6"/>
      <c r="I465" s="1" t="s">
        <v>50</v>
      </c>
      <c r="J465" s="1" t="s">
        <v>51</v>
      </c>
      <c r="K465" s="1" t="s">
        <v>31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4"/>
        <v>-4177.8260000000009</v>
      </c>
      <c r="E466" s="92">
        <f t="shared" si="86"/>
        <v>-0.84570479283639854</v>
      </c>
      <c r="F466" s="86">
        <f t="shared" si="85"/>
        <v>3066.1940000000177</v>
      </c>
      <c r="G466" s="86">
        <v>492893.609</v>
      </c>
      <c r="H466" s="6"/>
      <c r="I466" s="1" t="s">
        <v>50</v>
      </c>
      <c r="J466" s="1" t="s">
        <v>51</v>
      </c>
      <c r="K466" s="1" t="s">
        <v>31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4"/>
        <v>-2789.0260000000126</v>
      </c>
      <c r="E467" s="92">
        <f t="shared" si="86"/>
        <v>-0.56584746668930985</v>
      </c>
      <c r="F467" s="86">
        <f t="shared" si="85"/>
        <v>3151.1570000000065</v>
      </c>
      <c r="G467" s="86">
        <v>493255.74</v>
      </c>
      <c r="H467" s="6"/>
      <c r="I467" s="1" t="s">
        <v>50</v>
      </c>
      <c r="J467" s="1" t="s">
        <v>51</v>
      </c>
      <c r="K467" s="1" t="s">
        <v>31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4"/>
        <v>-911.28200000000652</v>
      </c>
      <c r="E468" s="92">
        <f t="shared" si="86"/>
        <v>-0.1847483822489337</v>
      </c>
      <c r="F468" s="86">
        <f t="shared" si="85"/>
        <v>3234.3470000000088</v>
      </c>
      <c r="G468" s="86">
        <v>495578.80499999999</v>
      </c>
      <c r="H468" s="6"/>
      <c r="I468" s="1" t="s">
        <v>50</v>
      </c>
      <c r="J468" s="1" t="s">
        <v>51</v>
      </c>
      <c r="K468" s="1" t="s">
        <v>31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6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50</v>
      </c>
      <c r="J469" s="1" t="s">
        <v>51</v>
      </c>
      <c r="K469" s="1" t="s">
        <v>31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>IF(G469="",0,(D470/G469)*100)</f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50</v>
      </c>
      <c r="J470" s="1" t="s">
        <v>51</v>
      </c>
      <c r="K470" s="1" t="s">
        <v>31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6"/>
        <v>-0.35642766101921214</v>
      </c>
      <c r="F471" s="86">
        <f t="shared" si="85"/>
        <v>3136.1780000000144</v>
      </c>
      <c r="G471" s="86">
        <v>498088.11300000001</v>
      </c>
      <c r="H471" s="6"/>
      <c r="I471" s="1" t="s">
        <v>50</v>
      </c>
      <c r="J471" s="1" t="s">
        <v>51</v>
      </c>
      <c r="K471" s="1" t="s">
        <v>31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6"/>
        <v>0.52205200889827497</v>
      </c>
      <c r="F472" s="86">
        <f t="shared" si="85"/>
        <v>3121.4909999999509</v>
      </c>
      <c r="G472" s="86">
        <v>503809.88299999997</v>
      </c>
      <c r="H472" s="6"/>
      <c r="I472" s="1" t="s">
        <v>50</v>
      </c>
      <c r="J472" s="1" t="s">
        <v>51</v>
      </c>
      <c r="K472" s="1" t="s">
        <v>31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6"/>
        <v>1.786624737569908</v>
      </c>
      <c r="F473" s="86">
        <f t="shared" si="85"/>
        <v>3144.3550000000105</v>
      </c>
      <c r="G473" s="86">
        <v>515955.43</v>
      </c>
      <c r="H473" s="6"/>
      <c r="I473" s="1" t="s">
        <v>50</v>
      </c>
      <c r="J473" s="1" t="s">
        <v>51</v>
      </c>
      <c r="K473" s="1" t="s">
        <v>31</v>
      </c>
      <c r="M473" s="6"/>
    </row>
    <row r="474" spans="1:13" hidden="1" collapsed="1" x14ac:dyDescent="0.2">
      <c r="A474" s="83" t="s">
        <v>74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7">B475-C475</f>
        <v>-8715.685999999987</v>
      </c>
      <c r="E475" s="92">
        <f>IF(G474="","",(D475/G474)*100)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50</v>
      </c>
      <c r="J475" s="1" t="s">
        <v>51</v>
      </c>
      <c r="K475" s="1" t="s">
        <v>31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7"/>
        <v>-486.98399999999674</v>
      </c>
      <c r="E476" s="92">
        <f>IF(G475="",0,(D476/G475)*100)</f>
        <v>-9.5371037712127543E-2</v>
      </c>
      <c r="F476" s="86">
        <f t="shared" ref="F476:F481" si="88">IF(G476="",0,(G476-G475-D476))</f>
        <v>2906.4569999999949</v>
      </c>
      <c r="G476" s="86">
        <v>513039.9</v>
      </c>
      <c r="H476" s="6"/>
      <c r="I476" s="1" t="s">
        <v>50</v>
      </c>
      <c r="J476" s="1" t="s">
        <v>51</v>
      </c>
      <c r="K476" s="1" t="s">
        <v>31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7"/>
        <v>-3542.8569999999891</v>
      </c>
      <c r="E477" s="92">
        <f t="shared" ref="E477:E482" si="89">IF(G476="",0,(D477/G476)*100)</f>
        <v>-0.69056168925652539</v>
      </c>
      <c r="F477" s="86">
        <f t="shared" si="88"/>
        <v>2907.8319999999658</v>
      </c>
      <c r="G477" s="86">
        <v>512404.875</v>
      </c>
      <c r="H477" s="6"/>
      <c r="I477" s="1" t="s">
        <v>50</v>
      </c>
      <c r="J477" s="1" t="s">
        <v>51</v>
      </c>
      <c r="K477" s="1" t="s">
        <v>31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7"/>
        <v>-491.16899999999441</v>
      </c>
      <c r="E478" s="92">
        <f t="shared" si="89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50</v>
      </c>
      <c r="J478" s="1" t="s">
        <v>51</v>
      </c>
      <c r="K478" s="1" t="s">
        <v>31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7"/>
        <v>172.57000000000698</v>
      </c>
      <c r="E479" s="92">
        <f t="shared" si="89"/>
        <v>3.3518931263960258E-2</v>
      </c>
      <c r="F479" s="86">
        <f t="shared" si="88"/>
        <v>2566.0469999999623</v>
      </c>
      <c r="G479" s="86">
        <v>517582.00099999999</v>
      </c>
      <c r="H479" s="6"/>
      <c r="I479" s="1" t="s">
        <v>50</v>
      </c>
      <c r="J479" s="1" t="s">
        <v>51</v>
      </c>
      <c r="K479" s="1" t="s">
        <v>31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7"/>
        <v>4871.9590000000026</v>
      </c>
      <c r="E480" s="92">
        <f t="shared" si="89"/>
        <v>0.94129219922390661</v>
      </c>
      <c r="F480" s="86">
        <f t="shared" si="88"/>
        <v>2920.3329999999551</v>
      </c>
      <c r="G480" s="86">
        <v>525374.29299999995</v>
      </c>
      <c r="H480" s="6"/>
      <c r="I480" s="1" t="s">
        <v>50</v>
      </c>
      <c r="J480" s="1" t="s">
        <v>51</v>
      </c>
      <c r="K480" s="1" t="s">
        <v>31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90">B481-C481</f>
        <v>1103.8910000000033</v>
      </c>
      <c r="E481" s="92">
        <f t="shared" si="89"/>
        <v>0.21011515308382314</v>
      </c>
      <c r="F481" s="86">
        <f t="shared" si="88"/>
        <v>2739.2200000000303</v>
      </c>
      <c r="G481" s="86">
        <v>529217.40399999998</v>
      </c>
      <c r="H481" s="6"/>
      <c r="I481" s="1" t="s">
        <v>50</v>
      </c>
      <c r="J481" s="1" t="s">
        <v>51</v>
      </c>
      <c r="K481" s="1" t="s">
        <v>31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90"/>
        <v>1645.0950000000012</v>
      </c>
      <c r="E482" s="92">
        <f t="shared" si="89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50</v>
      </c>
      <c r="J482" s="1" t="s">
        <v>51</v>
      </c>
      <c r="K482" s="1" t="s">
        <v>31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90"/>
        <v>3165.3960000000079</v>
      </c>
      <c r="E483" s="92">
        <f>IF(G482="",0,(D483/G482)*100)</f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50</v>
      </c>
      <c r="J483" s="1" t="s">
        <v>51</v>
      </c>
      <c r="K483" s="1" t="s">
        <v>31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90"/>
        <v>-1667.6120000000228</v>
      </c>
      <c r="E484" s="92">
        <f t="shared" ref="E484:E486" si="91">IF(G483="",0,(D484/G483)*100)</f>
        <v>-0.30912409916397343</v>
      </c>
      <c r="F484" s="86">
        <f t="shared" ref="F484:F486" si="92">IF(G484="",0,(G484-G483-D484))</f>
        <v>2491.7140000000945</v>
      </c>
      <c r="G484" s="86">
        <v>540287.70400000003</v>
      </c>
      <c r="H484" s="6"/>
      <c r="I484" s="1" t="s">
        <v>50</v>
      </c>
      <c r="J484" s="1" t="s">
        <v>51</v>
      </c>
      <c r="K484" s="1" t="s">
        <v>31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90"/>
        <v>3761.710000000021</v>
      </c>
      <c r="E485" s="92">
        <f t="shared" si="91"/>
        <v>0.69624201553178799</v>
      </c>
      <c r="F485" s="86">
        <f t="shared" si="92"/>
        <v>2437.9130000000005</v>
      </c>
      <c r="G485" s="86">
        <v>546487.32700000005</v>
      </c>
      <c r="H485" s="6"/>
      <c r="I485" s="1" t="s">
        <v>50</v>
      </c>
      <c r="J485" s="1" t="s">
        <v>51</v>
      </c>
      <c r="K485" s="1" t="s">
        <v>31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90"/>
        <v>14958.486000000004</v>
      </c>
      <c r="E486" s="92">
        <f t="shared" si="91"/>
        <v>2.7372063835617553</v>
      </c>
      <c r="F486" s="86">
        <f t="shared" si="92"/>
        <v>2295.8619999999937</v>
      </c>
      <c r="G486" s="86">
        <v>563741.67500000005</v>
      </c>
      <c r="H486" s="6"/>
      <c r="I486" s="1" t="s">
        <v>50</v>
      </c>
      <c r="J486" s="1" t="s">
        <v>51</v>
      </c>
      <c r="K486" s="1" t="s">
        <v>31</v>
      </c>
      <c r="M486" s="6"/>
    </row>
    <row r="487" spans="1:13" hidden="1" collapsed="1" x14ac:dyDescent="0.2">
      <c r="A487" s="83" t="s">
        <v>75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3">B488-C488</f>
        <v>-4974.7809999999881</v>
      </c>
      <c r="E488" s="92">
        <f>IF(G487="","",(D488/G487)*100)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50</v>
      </c>
      <c r="J488" s="1" t="s">
        <v>51</v>
      </c>
      <c r="K488" s="1" t="s">
        <v>31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3"/>
        <v>-586.21700000000419</v>
      </c>
      <c r="E489" s="92">
        <f>IF(G488="",0,(D489/G488)*100)</f>
        <v>-0.10448252520644982</v>
      </c>
      <c r="F489" s="86">
        <f t="shared" ref="F489:F490" si="94">IF(G489="",0,(G489-G488-D489))</f>
        <v>2245.5380000000005</v>
      </c>
      <c r="G489" s="86">
        <v>562726.35</v>
      </c>
      <c r="H489" s="6"/>
      <c r="I489" s="1" t="s">
        <v>50</v>
      </c>
      <c r="J489" s="1" t="s">
        <v>51</v>
      </c>
      <c r="K489" s="1" t="s">
        <v>31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3"/>
        <v>2852.3960000000079</v>
      </c>
      <c r="E490" s="92">
        <f t="shared" ref="E490:E495" si="95">IF(G489="",0,(D490/G489)*100)</f>
        <v>0.50688865022937135</v>
      </c>
      <c r="F490" s="86">
        <f t="shared" si="94"/>
        <v>2237.0680000000284</v>
      </c>
      <c r="G490" s="86">
        <v>567815.81400000001</v>
      </c>
      <c r="H490" s="6"/>
      <c r="I490" s="1" t="s">
        <v>50</v>
      </c>
      <c r="J490" s="1" t="s">
        <v>51</v>
      </c>
      <c r="K490" s="1" t="s">
        <v>31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3"/>
        <v>65.259999999980209</v>
      </c>
      <c r="E491" s="92">
        <f t="shared" si="95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50</v>
      </c>
      <c r="J491" s="1" t="s">
        <v>51</v>
      </c>
      <c r="K491" s="1" t="s">
        <v>31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3"/>
        <v>1245.0469999999914</v>
      </c>
      <c r="E492" s="92">
        <f t="shared" si="95"/>
        <v>0.21841737189073057</v>
      </c>
      <c r="F492" s="86">
        <f t="shared" ref="F492:F495" si="96">IF(G492="",0,(G492-G491-D492))</f>
        <v>2172.7700000000477</v>
      </c>
      <c r="G492" s="86">
        <v>573448.94099999999</v>
      </c>
      <c r="H492" s="6"/>
      <c r="I492" s="1" t="s">
        <v>50</v>
      </c>
      <c r="J492" s="1" t="s">
        <v>51</v>
      </c>
      <c r="K492" s="1" t="s">
        <v>31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3"/>
        <v>3902.5230000000156</v>
      </c>
      <c r="E493" s="92">
        <f t="shared" si="95"/>
        <v>0.68053539225212656</v>
      </c>
      <c r="F493" s="86">
        <f t="shared" si="96"/>
        <v>2176.7700000000477</v>
      </c>
      <c r="G493" s="86">
        <v>579528.23400000005</v>
      </c>
      <c r="H493" s="6"/>
      <c r="I493" s="1" t="s">
        <v>50</v>
      </c>
      <c r="J493" s="1" t="s">
        <v>51</v>
      </c>
      <c r="K493" s="1" t="s">
        <v>31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3"/>
        <v>2067.2900000000081</v>
      </c>
      <c r="E494" s="92">
        <f t="shared" si="95"/>
        <v>0.35671946226523416</v>
      </c>
      <c r="F494" s="86">
        <f t="shared" si="96"/>
        <v>2201.6759999998903</v>
      </c>
      <c r="G494" s="86">
        <v>583797.19999999995</v>
      </c>
      <c r="H494" s="6"/>
      <c r="I494" s="1" t="s">
        <v>50</v>
      </c>
      <c r="J494" s="1" t="s">
        <v>51</v>
      </c>
      <c r="K494" s="1" t="s">
        <v>31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3"/>
        <v>4405.0830000000133</v>
      </c>
      <c r="E495" s="92">
        <f t="shared" si="95"/>
        <v>0.75455706193863448</v>
      </c>
      <c r="F495" s="86">
        <f t="shared" si="96"/>
        <v>2213.3770000000659</v>
      </c>
      <c r="G495" s="86">
        <v>590415.66</v>
      </c>
      <c r="H495" s="6"/>
      <c r="I495" s="1" t="s">
        <v>50</v>
      </c>
      <c r="J495" s="1" t="s">
        <v>51</v>
      </c>
      <c r="K495" s="1" t="s">
        <v>31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3"/>
        <v>6779.2399999999907</v>
      </c>
      <c r="E496" s="92">
        <f>IF(G495="",0,(D496/G495)*100)</f>
        <v>1.1482148017550873</v>
      </c>
      <c r="F496" s="86">
        <v>2168.9920000000002</v>
      </c>
      <c r="G496" s="86">
        <v>599363.90399999998</v>
      </c>
      <c r="H496" s="6"/>
      <c r="I496" s="1" t="s">
        <v>50</v>
      </c>
      <c r="J496" s="1" t="s">
        <v>51</v>
      </c>
      <c r="K496" s="1" t="s">
        <v>31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3"/>
        <v>-2134.7250000000058</v>
      </c>
      <c r="E497" s="92">
        <f t="shared" ref="E497:E499" si="97">IF(G496="",0,(D497/G496)*100)</f>
        <v>-0.35616509198391866</v>
      </c>
      <c r="F497" s="86">
        <v>2279.6750000000002</v>
      </c>
      <c r="G497" s="86">
        <v>599508.86699999997</v>
      </c>
      <c r="H497" s="6"/>
      <c r="I497" s="1" t="s">
        <v>50</v>
      </c>
      <c r="J497" s="1" t="s">
        <v>51</v>
      </c>
      <c r="K497" s="1" t="s">
        <v>31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7"/>
        <v>0.32528442986315331</v>
      </c>
      <c r="F498" s="86">
        <v>2265.3040000000001</v>
      </c>
      <c r="G498" s="86">
        <v>603724.29</v>
      </c>
      <c r="H498" s="6"/>
      <c r="I498" s="1" t="s">
        <v>50</v>
      </c>
      <c r="J498" s="1" t="s">
        <v>51</v>
      </c>
      <c r="K498" s="1" t="s">
        <v>31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7"/>
        <v>2.0240780770970792</v>
      </c>
      <c r="F499" s="86">
        <v>2201.913</v>
      </c>
      <c r="G499" s="86">
        <v>618146.06299999997</v>
      </c>
      <c r="H499" s="6"/>
      <c r="I499" s="1" t="s">
        <v>50</v>
      </c>
      <c r="J499" s="1" t="s">
        <v>51</v>
      </c>
      <c r="K499" s="1" t="s">
        <v>31</v>
      </c>
      <c r="M499" s="6"/>
    </row>
    <row r="500" spans="1:13" hidden="1" collapsed="1" x14ac:dyDescent="0.2">
      <c r="A500" s="83" t="s">
        <v>76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8">B501-C501</f>
        <v>-9405.7449999999953</v>
      </c>
      <c r="E501" s="92">
        <f t="shared" ref="E501:E502" si="99">IF(G500="","",(D501/G500)*100)</f>
        <v>-1.5216055820774508</v>
      </c>
      <c r="F501" s="86">
        <v>2261.4520000000002</v>
      </c>
      <c r="G501" s="86">
        <v>611001.78</v>
      </c>
      <c r="I501" s="1" t="s">
        <v>50</v>
      </c>
      <c r="J501" s="1" t="s">
        <v>51</v>
      </c>
      <c r="K501" s="1" t="s">
        <v>31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8"/>
        <v>-2834.1339999999909</v>
      </c>
      <c r="E502" s="92">
        <f t="shared" si="99"/>
        <v>-0.46385036717896155</v>
      </c>
      <c r="F502" s="86">
        <v>2297.3490000000002</v>
      </c>
      <c r="G502" s="86">
        <v>610465.00600000005</v>
      </c>
      <c r="I502" s="1" t="s">
        <v>50</v>
      </c>
      <c r="J502" s="1" t="s">
        <v>51</v>
      </c>
      <c r="K502" s="1" t="s">
        <v>31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100">B503-C503</f>
        <v>1567.1570000000065</v>
      </c>
      <c r="E503" s="92">
        <f t="shared" ref="E503:E512" si="101">IF(G502="","",(D503/G502)*100)</f>
        <v>0.25671528827976858</v>
      </c>
      <c r="F503" s="86">
        <v>2326.3879999999999</v>
      </c>
      <c r="G503" s="86">
        <v>614358.56099999999</v>
      </c>
      <c r="I503" s="1" t="s">
        <v>50</v>
      </c>
      <c r="J503" s="1" t="s">
        <v>51</v>
      </c>
      <c r="K503" s="1" t="s">
        <v>31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100"/>
        <v>-2825.7319999999891</v>
      </c>
      <c r="E504" s="92">
        <f t="shared" si="101"/>
        <v>-0.45994833951699243</v>
      </c>
      <c r="F504" s="86">
        <v>2306.3229999999999</v>
      </c>
      <c r="G504" s="86">
        <v>613839.16299999994</v>
      </c>
      <c r="I504" s="1" t="s">
        <v>50</v>
      </c>
      <c r="J504" s="1" t="s">
        <v>51</v>
      </c>
      <c r="K504" s="1" t="s">
        <v>31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100"/>
        <v>-463.87599999998929</v>
      </c>
      <c r="E505" s="92">
        <f t="shared" si="101"/>
        <v>-7.5569632561875058E-2</v>
      </c>
      <c r="F505" s="86">
        <v>2312.0340000000001</v>
      </c>
      <c r="G505" s="86">
        <v>615687.33200000005</v>
      </c>
      <c r="I505" s="1" t="s">
        <v>50</v>
      </c>
      <c r="J505" s="1" t="s">
        <v>51</v>
      </c>
      <c r="K505" s="1" t="s">
        <v>31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100"/>
        <v>2770.1780000000144</v>
      </c>
      <c r="E506" s="92">
        <f t="shared" si="101"/>
        <v>0.44993259663169649</v>
      </c>
      <c r="F506" s="86">
        <v>2315.6570000000002</v>
      </c>
      <c r="G506" s="86">
        <v>620773.17599999998</v>
      </c>
      <c r="I506" s="1" t="s">
        <v>50</v>
      </c>
      <c r="J506" s="1" t="s">
        <v>51</v>
      </c>
      <c r="K506" s="1" t="s">
        <v>31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100"/>
        <v>-1836.1160000000091</v>
      </c>
      <c r="E507" s="92">
        <f t="shared" si="101"/>
        <v>-0.29577888848728368</v>
      </c>
      <c r="F507" s="86">
        <v>2340.3249999999998</v>
      </c>
      <c r="G507" s="86">
        <v>621277.39800000004</v>
      </c>
      <c r="I507" s="1" t="s">
        <v>50</v>
      </c>
      <c r="J507" s="1" t="s">
        <v>51</v>
      </c>
      <c r="K507" s="1" t="s">
        <v>31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100"/>
        <v>1029.4670000000042</v>
      </c>
      <c r="E508" s="92">
        <f t="shared" si="101"/>
        <v>0.16570166616619847</v>
      </c>
      <c r="F508" s="86">
        <v>2330.4810000000002</v>
      </c>
      <c r="G508" s="86">
        <v>624637.35400000005</v>
      </c>
      <c r="I508" s="1" t="s">
        <v>50</v>
      </c>
      <c r="J508" s="1" t="s">
        <v>51</v>
      </c>
      <c r="K508" s="1" t="s">
        <v>31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100"/>
        <v>8092.5370000000112</v>
      </c>
      <c r="E509" s="92">
        <f t="shared" si="101"/>
        <v>1.2955576460769924</v>
      </c>
      <c r="F509" s="86">
        <v>2214.41</v>
      </c>
      <c r="G509" s="86">
        <v>634944.30799999996</v>
      </c>
      <c r="I509" s="1" t="s">
        <v>50</v>
      </c>
      <c r="J509" s="1" t="s">
        <v>51</v>
      </c>
      <c r="K509" s="1" t="s">
        <v>31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100"/>
        <v>-350.60799999997835</v>
      </c>
      <c r="E510" s="92">
        <f t="shared" si="101"/>
        <v>-5.5218701165201778E-2</v>
      </c>
      <c r="F510" s="86">
        <v>2210.6529999999998</v>
      </c>
      <c r="G510" s="86">
        <v>636804.36399999994</v>
      </c>
      <c r="I510" s="1" t="s">
        <v>50</v>
      </c>
      <c r="J510" s="1" t="s">
        <v>51</v>
      </c>
      <c r="K510" s="1" t="s">
        <v>31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100"/>
        <v>3049.1239999999816</v>
      </c>
      <c r="E511" s="92">
        <f t="shared" si="101"/>
        <v>0.47881644228179032</v>
      </c>
      <c r="F511" s="86">
        <v>2114.3020000000001</v>
      </c>
      <c r="G511" s="86">
        <v>641967.80500000005</v>
      </c>
      <c r="I511" s="1" t="s">
        <v>50</v>
      </c>
      <c r="J511" s="1" t="s">
        <v>51</v>
      </c>
      <c r="K511" s="1" t="s">
        <v>31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100"/>
        <v>13597.323000000004</v>
      </c>
      <c r="E512" s="92">
        <f t="shared" si="101"/>
        <v>2.1180693009986697</v>
      </c>
      <c r="F512" s="86">
        <v>1966.3019999999999</v>
      </c>
      <c r="G512" s="86">
        <v>657531.44200000004</v>
      </c>
      <c r="I512" s="1" t="s">
        <v>50</v>
      </c>
      <c r="J512" s="1" t="s">
        <v>51</v>
      </c>
      <c r="K512" s="1" t="s">
        <v>31</v>
      </c>
    </row>
    <row r="513" spans="1:12" collapsed="1" x14ac:dyDescent="0.2">
      <c r="A513" s="83" t="s">
        <v>77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102">B514-C514</f>
        <v>-9835.1449999999895</v>
      </c>
      <c r="E514" s="92">
        <f t="shared" ref="E514:E515" si="103">IF(G513="","",(D514/G513)*100)</f>
        <v>-1.4957680153035158</v>
      </c>
      <c r="F514" s="86">
        <v>1948.7329999999999</v>
      </c>
      <c r="G514" s="86">
        <v>649645.04</v>
      </c>
      <c r="I514" s="1" t="s">
        <v>50</v>
      </c>
      <c r="J514" s="1" t="s">
        <v>51</v>
      </c>
      <c r="K514" s="1" t="s">
        <v>31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102"/>
        <v>-2270.5799999999872</v>
      </c>
      <c r="E515" s="92">
        <f t="shared" si="103"/>
        <v>-0.34951086519493585</v>
      </c>
      <c r="F515" s="86">
        <v>1855.1610000000001</v>
      </c>
      <c r="G515" s="86">
        <v>649229.63</v>
      </c>
      <c r="I515" s="1" t="s">
        <v>50</v>
      </c>
      <c r="J515" s="1" t="s">
        <v>51</v>
      </c>
      <c r="K515" s="1" t="s">
        <v>31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104">B516-C516</f>
        <v>8248.9700000000012</v>
      </c>
      <c r="E516" s="92">
        <f t="shared" ref="E516:E525" si="105">IF(G515="","",(D516/G515)*100)</f>
        <v>1.2705781774008067</v>
      </c>
      <c r="F516" s="86">
        <v>1804.857</v>
      </c>
      <c r="G516" s="86">
        <v>659283.46900000004</v>
      </c>
      <c r="I516" s="1" t="s">
        <v>50</v>
      </c>
      <c r="J516" s="1" t="s">
        <v>51</v>
      </c>
      <c r="K516" s="1" t="s">
        <v>31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104"/>
        <v>24614.515000000014</v>
      </c>
      <c r="E517" s="92">
        <f t="shared" si="105"/>
        <v>3.7335252827338841</v>
      </c>
      <c r="F517" s="86">
        <v>1777.704</v>
      </c>
      <c r="G517" s="86">
        <v>685675.70200000005</v>
      </c>
      <c r="I517" s="1" t="s">
        <v>50</v>
      </c>
      <c r="J517" s="1" t="s">
        <v>51</v>
      </c>
      <c r="K517" s="1" t="s">
        <v>31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104"/>
        <v>30301.160999999993</v>
      </c>
      <c r="E518" s="92">
        <f t="shared" si="105"/>
        <v>4.4191679698750637</v>
      </c>
      <c r="F518" s="86">
        <v>1714.0260000000001</v>
      </c>
      <c r="G518" s="86">
        <v>717690.89899999998</v>
      </c>
      <c r="I518" s="1" t="s">
        <v>50</v>
      </c>
      <c r="J518" s="1" t="s">
        <v>51</v>
      </c>
      <c r="K518" s="1" t="s">
        <v>31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104"/>
        <v>14435.327000000019</v>
      </c>
      <c r="E519" s="92">
        <f t="shared" si="105"/>
        <v>2.0113571204697722</v>
      </c>
      <c r="F519" s="86">
        <v>1580.424</v>
      </c>
      <c r="G519" s="86">
        <v>733706.66099999996</v>
      </c>
      <c r="I519" s="1" t="s">
        <v>50</v>
      </c>
      <c r="J519" s="1" t="s">
        <v>51</v>
      </c>
      <c r="K519" s="1" t="s">
        <v>31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104"/>
        <v>22363.187000000005</v>
      </c>
      <c r="E520" s="92">
        <f t="shared" si="105"/>
        <v>3.0479738277856532</v>
      </c>
      <c r="F520" s="86">
        <v>1466.039</v>
      </c>
      <c r="G520" s="86">
        <v>757535.89800000004</v>
      </c>
      <c r="I520" s="1" t="s">
        <v>50</v>
      </c>
      <c r="J520" s="1" t="s">
        <v>51</v>
      </c>
      <c r="K520" s="1" t="s">
        <v>31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104"/>
        <v>7947.9549999999872</v>
      </c>
      <c r="E521" s="92">
        <f t="shared" si="105"/>
        <v>1.0491852625048783</v>
      </c>
      <c r="F521" s="86">
        <v>1332.4269999999999</v>
      </c>
      <c r="G521" s="86">
        <v>766816.29</v>
      </c>
      <c r="I521" s="1" t="s">
        <v>50</v>
      </c>
      <c r="J521" s="1" t="s">
        <v>51</v>
      </c>
      <c r="K521" s="1" t="s">
        <v>31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104"/>
        <v>9974.4439999999886</v>
      </c>
      <c r="E522" s="92">
        <f t="shared" si="105"/>
        <v>1.3007605772172612</v>
      </c>
      <c r="F522" s="86">
        <v>1279.941</v>
      </c>
      <c r="G522" s="86">
        <v>778070.68599999999</v>
      </c>
      <c r="I522" s="1" t="s">
        <v>50</v>
      </c>
      <c r="J522" s="1" t="s">
        <v>51</v>
      </c>
      <c r="K522" s="1" t="s">
        <v>31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104"/>
        <v>4060.0960000000196</v>
      </c>
      <c r="E523" s="92">
        <f t="shared" si="105"/>
        <v>0.52181582895413436</v>
      </c>
      <c r="F523" s="86">
        <v>1261.4880000000001</v>
      </c>
      <c r="G523" s="86">
        <v>783392.27800000005</v>
      </c>
      <c r="I523" s="1" t="s">
        <v>50</v>
      </c>
      <c r="J523" s="1" t="s">
        <v>51</v>
      </c>
      <c r="K523" s="1" t="s">
        <v>31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104"/>
        <v>-442.91499999997905</v>
      </c>
      <c r="E524" s="92">
        <f t="shared" si="105"/>
        <v>-5.6538086018761979E-2</v>
      </c>
      <c r="F524" s="86">
        <v>1265.8499999999999</v>
      </c>
      <c r="G524" s="86">
        <v>784215.22499999998</v>
      </c>
      <c r="I524" s="1" t="s">
        <v>50</v>
      </c>
      <c r="J524" s="1" t="s">
        <v>51</v>
      </c>
      <c r="K524" s="1" t="s">
        <v>31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104"/>
        <v>15955.723999999987</v>
      </c>
      <c r="E525" s="92">
        <f t="shared" si="105"/>
        <v>2.0346103328968126</v>
      </c>
      <c r="F525" s="86">
        <v>1267.0239999999999</v>
      </c>
      <c r="G525" s="86">
        <v>801437.98499999999</v>
      </c>
      <c r="I525" s="1" t="s">
        <v>50</v>
      </c>
      <c r="J525" s="1" t="s">
        <v>51</v>
      </c>
      <c r="K525" s="1" t="s">
        <v>31</v>
      </c>
    </row>
    <row r="526" spans="1:12" collapsed="1" x14ac:dyDescent="0.2">
      <c r="A526" s="83" t="s">
        <v>78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6">B527-C527</f>
        <v>-16643.43299999999</v>
      </c>
      <c r="E527" s="92">
        <f>IF(B527="","",(D527/G526)*100)</f>
        <v>-2.0766963023346081</v>
      </c>
      <c r="F527" s="86">
        <v>1284.7750000000001</v>
      </c>
      <c r="G527" s="86">
        <v>786079.33600000001</v>
      </c>
      <c r="I527" s="1" t="s">
        <v>50</v>
      </c>
      <c r="J527" s="1" t="s">
        <v>51</v>
      </c>
      <c r="K527" s="1" t="s">
        <v>31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6"/>
        <v>-5005.3739999999816</v>
      </c>
      <c r="E528" s="92">
        <f t="shared" ref="E528:E538" si="107">IF(B528="","",(D528/G527)*100)</f>
        <v>-0.63675175911251558</v>
      </c>
      <c r="F528" s="86">
        <v>1195.914</v>
      </c>
      <c r="G528" s="86">
        <v>782269.88300000003</v>
      </c>
      <c r="I528" s="1" t="s">
        <v>50</v>
      </c>
      <c r="J528" s="1" t="s">
        <v>51</v>
      </c>
      <c r="K528" s="1" t="s">
        <v>31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6"/>
        <v>-4849.2969999999623</v>
      </c>
      <c r="E529" s="92">
        <f t="shared" si="107"/>
        <v>-0.61990076639572766</v>
      </c>
      <c r="F529" s="86">
        <v>1352.7049999999999</v>
      </c>
      <c r="G529" s="86">
        <v>778773.30200000003</v>
      </c>
      <c r="I529" s="1" t="s">
        <v>50</v>
      </c>
      <c r="J529" s="1" t="s">
        <v>51</v>
      </c>
      <c r="K529" s="1" t="s">
        <v>31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6"/>
        <v>2037.3410000000149</v>
      </c>
      <c r="E530" s="92">
        <f t="shared" si="107"/>
        <v>0.26160899388407832</v>
      </c>
      <c r="F530" s="86">
        <v>1351.933</v>
      </c>
      <c r="G530" s="86">
        <v>782162.58400000003</v>
      </c>
      <c r="I530" s="1" t="s">
        <v>50</v>
      </c>
      <c r="J530" s="1" t="s">
        <v>51</v>
      </c>
      <c r="K530" s="1" t="s">
        <v>31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6"/>
        <v>-1183.252999999997</v>
      </c>
      <c r="E531" s="92">
        <f t="shared" si="107"/>
        <v>-0.15127967307625609</v>
      </c>
      <c r="F531" s="86">
        <v>1537.4549999999999</v>
      </c>
      <c r="G531" s="86">
        <v>782516.79599999997</v>
      </c>
      <c r="I531" s="1" t="s">
        <v>50</v>
      </c>
      <c r="J531" s="1" t="s">
        <v>51</v>
      </c>
      <c r="K531" s="1" t="s">
        <v>31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6"/>
        <v>5233.7540000000154</v>
      </c>
      <c r="E532" s="92">
        <f t="shared" si="107"/>
        <v>0.66883599518290926</v>
      </c>
      <c r="F532" s="86">
        <v>1727.085</v>
      </c>
      <c r="G532" s="86">
        <v>789477.64099999995</v>
      </c>
      <c r="I532" s="1" t="s">
        <v>50</v>
      </c>
      <c r="J532" s="1" t="s">
        <v>51</v>
      </c>
      <c r="K532" s="1" t="s">
        <v>31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6"/>
        <v>6474.8440000000119</v>
      </c>
      <c r="E533" s="92">
        <f t="shared" si="107"/>
        <v>0.82014279616565</v>
      </c>
      <c r="F533" s="86">
        <v>1906.079</v>
      </c>
      <c r="G533" s="86">
        <v>797858.57299999997</v>
      </c>
      <c r="I533" s="1" t="s">
        <v>50</v>
      </c>
      <c r="J533" s="1" t="s">
        <v>51</v>
      </c>
      <c r="K533" s="1" t="s">
        <v>31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6"/>
        <v>-5398.5559999999823</v>
      </c>
      <c r="E534" s="92">
        <f t="shared" si="107"/>
        <v>-0.67663069404657294</v>
      </c>
      <c r="F534" s="86">
        <v>2085.9989999999998</v>
      </c>
      <c r="G534" s="86">
        <v>794546.03099999996</v>
      </c>
      <c r="I534" s="1" t="s">
        <v>50</v>
      </c>
      <c r="J534" s="1" t="s">
        <v>51</v>
      </c>
      <c r="K534" s="1" t="s">
        <v>31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6"/>
        <v>-6336.4040000000095</v>
      </c>
      <c r="E535" s="92">
        <f t="shared" si="107"/>
        <v>-0.79748733903121216</v>
      </c>
      <c r="F535" s="86">
        <v>2366.884</v>
      </c>
      <c r="G535" s="86">
        <v>790576.52399999998</v>
      </c>
      <c r="I535" s="1" t="s">
        <v>50</v>
      </c>
      <c r="J535" s="1" t="s">
        <v>51</v>
      </c>
      <c r="K535" s="1" t="s">
        <v>31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6"/>
        <v>-5969.4109999999928</v>
      </c>
      <c r="E536" s="92">
        <f t="shared" si="107"/>
        <v>-0.7550706122409464</v>
      </c>
      <c r="F536" s="86">
        <v>2516.3649999999998</v>
      </c>
      <c r="G536" s="86">
        <v>787123.48699999996</v>
      </c>
      <c r="I536" s="1" t="s">
        <v>50</v>
      </c>
      <c r="J536" s="1" t="s">
        <v>51</v>
      </c>
      <c r="K536" s="1" t="s">
        <v>31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6"/>
        <v>-9254.1820000000007</v>
      </c>
      <c r="E537" s="92">
        <f t="shared" si="107"/>
        <v>-1.1756963364504458</v>
      </c>
      <c r="F537" s="86">
        <v>2782.11</v>
      </c>
      <c r="G537" s="86">
        <v>780651.42200000002</v>
      </c>
      <c r="I537" s="1" t="s">
        <v>50</v>
      </c>
      <c r="J537" s="1" t="s">
        <v>51</v>
      </c>
      <c r="K537" s="1" t="s">
        <v>31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6"/>
        <v>6138.4739999999874</v>
      </c>
      <c r="E538" s="92">
        <f t="shared" si="107"/>
        <v>0.78632714000231307</v>
      </c>
      <c r="F538" s="86">
        <v>3319.1109999999999</v>
      </c>
      <c r="G538" s="86">
        <v>790109.01300000004</v>
      </c>
      <c r="I538" s="1" t="s">
        <v>50</v>
      </c>
      <c r="J538" s="1" t="s">
        <v>51</v>
      </c>
      <c r="K538" s="1" t="s">
        <v>31</v>
      </c>
    </row>
    <row r="539" spans="1:12" collapsed="1" x14ac:dyDescent="0.2">
      <c r="A539" s="83" t="s">
        <v>79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8">B540-C540</f>
        <v>-15677.696999999986</v>
      </c>
      <c r="E540" s="92">
        <f>IF(B540="","",(D540/G539)*100)</f>
        <v>-1.9842447993945342</v>
      </c>
      <c r="F540" s="86">
        <v>4138.4440000000004</v>
      </c>
      <c r="G540" s="86">
        <v>778569.77</v>
      </c>
      <c r="I540" s="1" t="s">
        <v>50</v>
      </c>
      <c r="J540" s="1" t="s">
        <v>51</v>
      </c>
      <c r="K540" s="1" t="s">
        <v>31</v>
      </c>
      <c r="L540" s="94"/>
    </row>
    <row r="541" spans="1:12" outlineLevel="1" x14ac:dyDescent="0.2">
      <c r="A541" s="93">
        <v>44593</v>
      </c>
      <c r="B541" s="86">
        <v>226744.71</v>
      </c>
      <c r="C541" s="86">
        <v>229187.285</v>
      </c>
      <c r="D541" s="86">
        <f t="shared" si="108"/>
        <v>-2442.5750000000116</v>
      </c>
      <c r="E541" s="92">
        <f t="shared" ref="E541:E551" si="109">IF(B541="","",(D541/G540)*100)</f>
        <v>-0.31372589768030829</v>
      </c>
      <c r="F541" s="86">
        <v>3979.4740000000002</v>
      </c>
      <c r="G541" s="86">
        <v>780106.68099999998</v>
      </c>
      <c r="I541" s="1" t="s">
        <v>50</v>
      </c>
      <c r="J541" s="1" t="s">
        <v>51</v>
      </c>
      <c r="K541" s="1" t="s">
        <v>31</v>
      </c>
    </row>
    <row r="542" spans="1:12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8"/>
        <v>-12596.84600000002</v>
      </c>
      <c r="E542" s="92">
        <f t="shared" si="109"/>
        <v>-1.6147594049383638</v>
      </c>
      <c r="F542" s="86">
        <v>4067.0230000000001</v>
      </c>
      <c r="G542" s="86">
        <v>771576.87199999997</v>
      </c>
      <c r="I542" s="1" t="s">
        <v>50</v>
      </c>
      <c r="J542" s="1" t="s">
        <v>51</v>
      </c>
      <c r="K542" s="1" t="s">
        <v>31</v>
      </c>
    </row>
    <row r="543" spans="1:12" outlineLevel="1" x14ac:dyDescent="0.2">
      <c r="A543" s="93">
        <v>44652</v>
      </c>
      <c r="B543" s="86">
        <v>243106.997</v>
      </c>
      <c r="C543" s="86">
        <v>250849.34</v>
      </c>
      <c r="D543" s="86">
        <f t="shared" si="108"/>
        <v>-7742.3429999999935</v>
      </c>
      <c r="E543" s="92">
        <f t="shared" si="109"/>
        <v>-1.0034441519651971</v>
      </c>
      <c r="F543" s="86">
        <v>4373.6279999999997</v>
      </c>
      <c r="G543" s="86">
        <v>768208.16599999997</v>
      </c>
      <c r="I543" s="1" t="s">
        <v>50</v>
      </c>
      <c r="J543" s="1" t="s">
        <v>51</v>
      </c>
      <c r="K543" s="1" t="s">
        <v>31</v>
      </c>
    </row>
    <row r="544" spans="1:12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8"/>
        <v>5224.0069999999832</v>
      </c>
      <c r="E544" s="92">
        <f t="shared" si="109"/>
        <v>0.68002492439008821</v>
      </c>
      <c r="F544" s="86">
        <v>4241.085</v>
      </c>
      <c r="G544" s="86">
        <v>777673.26800000004</v>
      </c>
      <c r="I544" s="1" t="s">
        <v>50</v>
      </c>
      <c r="J544" s="1" t="s">
        <v>51</v>
      </c>
      <c r="K544" s="1" t="s">
        <v>31</v>
      </c>
    </row>
    <row r="545" spans="1:12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8"/>
        <v>-3333.3040000000037</v>
      </c>
      <c r="E545" s="92">
        <f t="shared" si="109"/>
        <v>-0.42862525139542323</v>
      </c>
      <c r="F545" s="86">
        <v>4841.4560000000001</v>
      </c>
      <c r="G545" s="86">
        <v>779181.43200000003</v>
      </c>
      <c r="I545" s="1" t="s">
        <v>50</v>
      </c>
      <c r="J545" s="1" t="s">
        <v>51</v>
      </c>
      <c r="K545" s="1" t="s">
        <v>31</v>
      </c>
    </row>
    <row r="546" spans="1:12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8"/>
        <v>-11610.622999999992</v>
      </c>
      <c r="E546" s="92">
        <f t="shared" si="109"/>
        <v>-1.4901051954225717</v>
      </c>
      <c r="F546" s="86">
        <v>4768.692</v>
      </c>
      <c r="G546" s="86">
        <v>772339.51</v>
      </c>
      <c r="I546" s="1" t="s">
        <v>50</v>
      </c>
      <c r="J546" s="1" t="s">
        <v>51</v>
      </c>
      <c r="K546" s="1" t="s">
        <v>31</v>
      </c>
    </row>
    <row r="547" spans="1:12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8"/>
        <v>-19697.440000000002</v>
      </c>
      <c r="E547" s="92">
        <f t="shared" si="109"/>
        <v>-2.5503602683747206</v>
      </c>
      <c r="F547" s="86">
        <v>5033.78</v>
      </c>
      <c r="G547" s="86">
        <v>757675.85699999996</v>
      </c>
      <c r="I547" s="1" t="s">
        <v>50</v>
      </c>
      <c r="J547" s="1" t="s">
        <v>51</v>
      </c>
      <c r="K547" s="1" t="s">
        <v>31</v>
      </c>
    </row>
    <row r="548" spans="1:12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8"/>
        <v>-4955.2239999999874</v>
      </c>
      <c r="E548" s="92">
        <f t="shared" si="109"/>
        <v>-0.6540031537523292</v>
      </c>
      <c r="F548" s="86">
        <v>4990.1120000000001</v>
      </c>
      <c r="G548" s="86">
        <v>757710.75300000003</v>
      </c>
      <c r="I548" s="1" t="s">
        <v>50</v>
      </c>
      <c r="J548" s="1" t="s">
        <v>51</v>
      </c>
      <c r="K548" s="1" t="s">
        <v>31</v>
      </c>
    </row>
    <row r="549" spans="1:12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8"/>
        <v>-9426.3120000000345</v>
      </c>
      <c r="E549" s="92">
        <f t="shared" si="109"/>
        <v>-1.2440515015365017</v>
      </c>
      <c r="F549" s="86">
        <v>4784.9139999999998</v>
      </c>
      <c r="G549" s="86">
        <v>753069.36100000003</v>
      </c>
      <c r="I549" s="1" t="s">
        <v>50</v>
      </c>
      <c r="J549" s="1" t="s">
        <v>51</v>
      </c>
      <c r="K549" s="1" t="s">
        <v>31</v>
      </c>
    </row>
    <row r="550" spans="1:12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8"/>
        <v>-4354.8959999999497</v>
      </c>
      <c r="E550" s="92">
        <f t="shared" si="109"/>
        <v>-0.57828617462501564</v>
      </c>
      <c r="F550" s="86">
        <v>4690.6270000000004</v>
      </c>
      <c r="G550" s="86">
        <v>753405.10100000002</v>
      </c>
      <c r="I550" s="1" t="s">
        <v>50</v>
      </c>
      <c r="J550" s="1" t="s">
        <v>51</v>
      </c>
      <c r="K550" s="1" t="s">
        <v>31</v>
      </c>
    </row>
    <row r="551" spans="1:12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8"/>
        <v>5668.7679999999818</v>
      </c>
      <c r="E551" s="92">
        <f t="shared" si="109"/>
        <v>0.75241964681096329</v>
      </c>
      <c r="F551" s="86">
        <v>4741.183</v>
      </c>
      <c r="G551" s="86">
        <v>763815.06599999999</v>
      </c>
      <c r="I551" s="1" t="s">
        <v>50</v>
      </c>
      <c r="J551" s="1" t="s">
        <v>51</v>
      </c>
      <c r="K551" s="1" t="s">
        <v>31</v>
      </c>
    </row>
    <row r="552" spans="1:12" x14ac:dyDescent="0.2">
      <c r="A552" s="83" t="s">
        <v>80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10">B553-C553</f>
        <v>-27216.821999999986</v>
      </c>
      <c r="E553" s="92">
        <f>IF(B553="","",(D553/G552)*100)</f>
        <v>-3.5632737833427317</v>
      </c>
      <c r="F553" s="86">
        <v>5731.9440000000004</v>
      </c>
      <c r="G553" s="86">
        <v>742330.20200000005</v>
      </c>
      <c r="I553" s="1" t="s">
        <v>50</v>
      </c>
      <c r="J553" s="1" t="s">
        <v>51</v>
      </c>
      <c r="K553" s="1" t="s">
        <v>31</v>
      </c>
      <c r="L553" s="94"/>
    </row>
    <row r="554" spans="1:12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10"/>
        <v>-8576.8740000000107</v>
      </c>
      <c r="E554" s="92">
        <f t="shared" ref="E554:E564" si="111">IF(B554="","",(D554/G553)*100)</f>
        <v>-1.1553987668684413</v>
      </c>
      <c r="F554" s="86">
        <v>5386.1329999999998</v>
      </c>
      <c r="G554" s="86">
        <v>739139.47100000002</v>
      </c>
      <c r="I554" s="1" t="s">
        <v>50</v>
      </c>
      <c r="J554" s="1" t="s">
        <v>51</v>
      </c>
      <c r="K554" s="1" t="s">
        <v>31</v>
      </c>
    </row>
    <row r="555" spans="1:12" outlineLevel="1" x14ac:dyDescent="0.2">
      <c r="A555" s="93">
        <v>44986</v>
      </c>
      <c r="B555" s="86">
        <v>283185.82699999999</v>
      </c>
      <c r="C555" s="86">
        <v>288850.65500000003</v>
      </c>
      <c r="D555" s="86">
        <f t="shared" si="110"/>
        <v>-5664.8280000000377</v>
      </c>
      <c r="E555" s="92">
        <f t="shared" si="111"/>
        <v>-0.76640853617734039</v>
      </c>
      <c r="F555" s="86">
        <v>4202.4480000000003</v>
      </c>
      <c r="G555" s="86">
        <v>737677.10199999996</v>
      </c>
      <c r="I555" s="1" t="s">
        <v>50</v>
      </c>
      <c r="J555" s="1" t="s">
        <v>51</v>
      </c>
      <c r="K555" s="1" t="s">
        <v>31</v>
      </c>
    </row>
    <row r="556" spans="1:12" outlineLevel="1" x14ac:dyDescent="0.2">
      <c r="A556" s="93">
        <v>45017</v>
      </c>
      <c r="B556" s="86">
        <v>250617.666</v>
      </c>
      <c r="C556" s="86">
        <v>255693.106</v>
      </c>
      <c r="D556" s="86">
        <f t="shared" si="110"/>
        <v>-5075.4400000000023</v>
      </c>
      <c r="E556" s="92">
        <f t="shared" si="111"/>
        <v>-0.68803003187158751</v>
      </c>
      <c r="F556" s="86">
        <v>4780.2719999999999</v>
      </c>
      <c r="G556" s="86">
        <v>737381.94200000004</v>
      </c>
      <c r="I556" s="1" t="s">
        <v>50</v>
      </c>
      <c r="J556" s="1" t="s">
        <v>51</v>
      </c>
      <c r="K556" s="1" t="s">
        <v>31</v>
      </c>
    </row>
    <row r="557" spans="1:12" outlineLevel="1" x14ac:dyDescent="0.2">
      <c r="A557" s="93">
        <v>45047</v>
      </c>
      <c r="B557" s="86">
        <v>285084.44300000003</v>
      </c>
      <c r="C557" s="86">
        <v>295528.20699999999</v>
      </c>
      <c r="D557" s="86">
        <f t="shared" si="110"/>
        <v>-10443.763999999966</v>
      </c>
      <c r="E557" s="92">
        <f t="shared" si="111"/>
        <v>-1.4163303174571051</v>
      </c>
      <c r="F557" s="86">
        <v>4339.701</v>
      </c>
      <c r="G557" s="86">
        <v>731277.89</v>
      </c>
      <c r="I557" s="1" t="s">
        <v>50</v>
      </c>
      <c r="J557" s="1" t="s">
        <v>51</v>
      </c>
      <c r="K557" s="1" t="s">
        <v>31</v>
      </c>
    </row>
    <row r="558" spans="1:12" outlineLevel="1" x14ac:dyDescent="0.2">
      <c r="A558" s="93">
        <v>45078</v>
      </c>
      <c r="B558" s="86">
        <v>287540.45500000002</v>
      </c>
      <c r="C558" s="86">
        <v>285119.478</v>
      </c>
      <c r="D558" s="86">
        <f t="shared" si="110"/>
        <v>2420.9770000000135</v>
      </c>
      <c r="E558" s="92">
        <f t="shared" si="111"/>
        <v>0.33106115104888695</v>
      </c>
      <c r="F558" s="86">
        <v>4771.2460000000001</v>
      </c>
      <c r="G558" s="86">
        <v>738470.12300000002</v>
      </c>
      <c r="I558" s="1" t="s">
        <v>50</v>
      </c>
      <c r="J558" s="1" t="s">
        <v>51</v>
      </c>
      <c r="K558" s="1" t="s">
        <v>31</v>
      </c>
    </row>
    <row r="559" spans="1:12" outlineLevel="1" x14ac:dyDescent="0.2">
      <c r="A559" s="93">
        <v>45108</v>
      </c>
      <c r="B559" s="86">
        <v>281001.48300000001</v>
      </c>
      <c r="C559" s="86">
        <v>284703.84899999999</v>
      </c>
      <c r="D559" s="86">
        <f t="shared" si="110"/>
        <v>-3702.36599999998</v>
      </c>
      <c r="E559" s="92">
        <f t="shared" si="111"/>
        <v>-0.50135623428599829</v>
      </c>
      <c r="F559" s="86">
        <v>4691.5450000000001</v>
      </c>
      <c r="G559" s="86">
        <v>739459.30799999996</v>
      </c>
      <c r="I559" s="1" t="s">
        <v>50</v>
      </c>
      <c r="J559" s="1" t="s">
        <v>51</v>
      </c>
      <c r="K559" s="1" t="s">
        <v>31</v>
      </c>
    </row>
    <row r="560" spans="1:12" outlineLevel="1" x14ac:dyDescent="0.2">
      <c r="A560" s="93">
        <v>45139</v>
      </c>
      <c r="B560" s="86">
        <v>277197.80300000001</v>
      </c>
      <c r="C560" s="86">
        <v>285667.359</v>
      </c>
      <c r="D560" s="86">
        <f t="shared" si="110"/>
        <v>-8469.5559999999823</v>
      </c>
      <c r="E560" s="92">
        <f t="shared" si="111"/>
        <v>-1.1453714772902666</v>
      </c>
      <c r="F560" s="86">
        <v>4755.9750000000004</v>
      </c>
      <c r="G560" s="86">
        <v>735745.73899999994</v>
      </c>
      <c r="I560" s="1" t="s">
        <v>50</v>
      </c>
      <c r="J560" s="1" t="s">
        <v>51</v>
      </c>
      <c r="K560" s="1" t="s">
        <v>31</v>
      </c>
    </row>
    <row r="561" spans="1:11" outlineLevel="1" x14ac:dyDescent="0.2">
      <c r="A561" s="93">
        <v>45170</v>
      </c>
      <c r="B561" s="86"/>
      <c r="C561" s="86"/>
      <c r="D561" s="86">
        <f t="shared" si="110"/>
        <v>0</v>
      </c>
      <c r="E561" s="92" t="str">
        <f t="shared" si="111"/>
        <v/>
      </c>
      <c r="F561" s="86"/>
      <c r="G561" s="86"/>
      <c r="I561" s="1" t="s">
        <v>50</v>
      </c>
      <c r="J561" s="1" t="s">
        <v>51</v>
      </c>
      <c r="K561" s="1" t="s">
        <v>31</v>
      </c>
    </row>
    <row r="562" spans="1:11" outlineLevel="1" x14ac:dyDescent="0.2">
      <c r="A562" s="93">
        <v>45200</v>
      </c>
      <c r="B562" s="86"/>
      <c r="C562" s="86"/>
      <c r="D562" s="86">
        <f t="shared" si="110"/>
        <v>0</v>
      </c>
      <c r="E562" s="92" t="str">
        <f t="shared" si="111"/>
        <v/>
      </c>
      <c r="F562" s="86"/>
      <c r="G562" s="86"/>
      <c r="I562" s="1" t="s">
        <v>50</v>
      </c>
      <c r="J562" s="1" t="s">
        <v>51</v>
      </c>
      <c r="K562" s="1" t="s">
        <v>31</v>
      </c>
    </row>
    <row r="563" spans="1:11" outlineLevel="1" x14ac:dyDescent="0.2">
      <c r="A563" s="93">
        <v>45231</v>
      </c>
      <c r="B563" s="86"/>
      <c r="C563" s="86"/>
      <c r="D563" s="86">
        <f t="shared" si="110"/>
        <v>0</v>
      </c>
      <c r="E563" s="92" t="str">
        <f t="shared" si="111"/>
        <v/>
      </c>
      <c r="F563" s="86"/>
      <c r="G563" s="86"/>
      <c r="I563" s="1" t="s">
        <v>50</v>
      </c>
      <c r="J563" s="1" t="s">
        <v>51</v>
      </c>
      <c r="K563" s="1" t="s">
        <v>31</v>
      </c>
    </row>
    <row r="564" spans="1:11" outlineLevel="1" x14ac:dyDescent="0.2">
      <c r="A564" s="93">
        <v>45261</v>
      </c>
      <c r="B564" s="86"/>
      <c r="C564" s="86"/>
      <c r="D564" s="86">
        <f t="shared" si="110"/>
        <v>0</v>
      </c>
      <c r="E564" s="92" t="str">
        <f t="shared" si="111"/>
        <v/>
      </c>
      <c r="F564" s="86"/>
      <c r="G564" s="86"/>
      <c r="I564" s="1" t="s">
        <v>50</v>
      </c>
      <c r="J564" s="1" t="s">
        <v>51</v>
      </c>
      <c r="K564" s="1" t="s">
        <v>31</v>
      </c>
    </row>
    <row r="565" spans="1:11" x14ac:dyDescent="0.2">
      <c r="A565" s="83" t="s">
        <v>81</v>
      </c>
      <c r="B565" s="84">
        <f>SUM(B553:B564)</f>
        <v>2169377.824</v>
      </c>
      <c r="C565" s="84">
        <f>SUM(C553:C564)</f>
        <v>2236106.497</v>
      </c>
      <c r="D565" s="84">
        <f>SUM(D553:D564)</f>
        <v>-66728.672999999952</v>
      </c>
      <c r="E565" s="91">
        <f>(D565/G552*100)</f>
        <v>-8.7362341972971702</v>
      </c>
      <c r="F565" s="84">
        <f>SUM(F553:F564)</f>
        <v>38659.264000000003</v>
      </c>
      <c r="G565" s="85">
        <f>IFERROR(INDEX($G$553:$G$564,COUNTA($G$553:$G$564)),0)</f>
        <v>735745.73899999994</v>
      </c>
    </row>
    <row r="567" spans="1:11" x14ac:dyDescent="0.2">
      <c r="G567" s="152"/>
    </row>
    <row r="568" spans="1:11" x14ac:dyDescent="0.2">
      <c r="D568" s="153"/>
      <c r="G568" s="81"/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E163:E370 B32:B201 E383" formula="1"/>
    <ignoredError sqref="E162 E32:E149" formula="1" formulaRange="1"/>
    <ignoredError sqref="D150:E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H572"/>
  <sheetViews>
    <sheetView showGridLines="0" zoomScaleNormal="100" workbookViewId="0">
      <pane ySplit="6" topLeftCell="A513" activePane="bottomLeft" state="frozen"/>
      <selection activeCell="B491" sqref="B491:C491"/>
      <selection pane="bottomLeft" activeCell="I549" sqref="I549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0</v>
      </c>
      <c r="C2" s="51"/>
      <c r="D2" s="51"/>
      <c r="E2" s="51"/>
      <c r="F2" s="51"/>
      <c r="G2" s="51"/>
    </row>
    <row r="3" spans="1:7" x14ac:dyDescent="0.2">
      <c r="B3" s="51" t="s">
        <v>82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4</v>
      </c>
      <c r="B5" s="9" t="s">
        <v>5</v>
      </c>
      <c r="C5" s="9" t="s">
        <v>6</v>
      </c>
      <c r="D5" s="161" t="s">
        <v>7</v>
      </c>
      <c r="E5" s="162"/>
      <c r="F5" s="9" t="s">
        <v>8</v>
      </c>
      <c r="G5" s="10" t="s">
        <v>9</v>
      </c>
    </row>
    <row r="6" spans="1:7" ht="15" x14ac:dyDescent="0.25">
      <c r="A6" s="8"/>
      <c r="B6" s="9" t="s">
        <v>16</v>
      </c>
      <c r="C6" s="9" t="s">
        <v>16</v>
      </c>
      <c r="D6" s="11" t="s">
        <v>10</v>
      </c>
      <c r="E6" s="11" t="s">
        <v>11</v>
      </c>
      <c r="F6" s="9" t="s">
        <v>16</v>
      </c>
      <c r="G6" s="10"/>
    </row>
    <row r="7" spans="1:7" hidden="1" x14ac:dyDescent="0.2">
      <c r="A7" s="3"/>
    </row>
    <row r="8" spans="1:7" hidden="1" x14ac:dyDescent="0.2">
      <c r="A8" s="16" t="s">
        <v>17</v>
      </c>
      <c r="B8" s="12"/>
      <c r="C8" s="12"/>
      <c r="D8" s="12"/>
      <c r="E8" s="13"/>
      <c r="F8" s="12"/>
      <c r="G8" s="14"/>
    </row>
    <row r="9" spans="1:7" hidden="1" x14ac:dyDescent="0.2">
      <c r="A9" s="16" t="s">
        <v>18</v>
      </c>
      <c r="B9" s="12"/>
      <c r="C9" s="12"/>
      <c r="D9" s="12"/>
      <c r="E9" s="13"/>
      <c r="F9" s="12"/>
      <c r="G9" s="14"/>
    </row>
    <row r="10" spans="1:7" hidden="1" x14ac:dyDescent="0.2">
      <c r="A10" s="16" t="s">
        <v>19</v>
      </c>
      <c r="B10" s="12"/>
      <c r="C10" s="12"/>
      <c r="D10" s="12"/>
      <c r="E10" s="13"/>
      <c r="F10" s="12"/>
      <c r="G10" s="14"/>
    </row>
    <row r="11" spans="1:7" hidden="1" x14ac:dyDescent="0.2">
      <c r="A11" s="16" t="s">
        <v>20</v>
      </c>
      <c r="B11" s="12"/>
      <c r="C11" s="12"/>
      <c r="D11" s="12"/>
      <c r="E11" s="13"/>
      <c r="F11" s="12"/>
      <c r="G11" s="14"/>
    </row>
    <row r="12" spans="1:7" hidden="1" x14ac:dyDescent="0.2">
      <c r="A12" s="16" t="s">
        <v>21</v>
      </c>
      <c r="B12" s="12"/>
      <c r="C12" s="12"/>
      <c r="D12" s="12"/>
      <c r="E12" s="13"/>
      <c r="F12" s="12"/>
      <c r="G12" s="14"/>
    </row>
    <row r="13" spans="1:7" hidden="1" x14ac:dyDescent="0.2">
      <c r="A13" s="16" t="s">
        <v>22</v>
      </c>
      <c r="B13" s="12"/>
      <c r="C13" s="12"/>
      <c r="D13" s="12"/>
      <c r="E13" s="13"/>
      <c r="F13" s="12"/>
      <c r="G13" s="14"/>
    </row>
    <row r="14" spans="1:7" hidden="1" x14ac:dyDescent="0.2">
      <c r="A14" s="16" t="s">
        <v>23</v>
      </c>
      <c r="B14" s="12"/>
      <c r="C14" s="12"/>
      <c r="D14" s="12"/>
      <c r="E14" s="13"/>
      <c r="F14" s="12"/>
      <c r="G14" s="14"/>
    </row>
    <row r="15" spans="1:7" hidden="1" x14ac:dyDescent="0.2">
      <c r="A15" s="16" t="s">
        <v>24</v>
      </c>
      <c r="B15" s="12"/>
      <c r="C15" s="12"/>
      <c r="D15" s="12"/>
      <c r="E15" s="13"/>
      <c r="F15" s="12"/>
      <c r="G15" s="14"/>
    </row>
    <row r="16" spans="1:7" hidden="1" x14ac:dyDescent="0.2">
      <c r="A16" s="16" t="s">
        <v>25</v>
      </c>
      <c r="B16" s="12"/>
      <c r="C16" s="12"/>
      <c r="D16" s="12"/>
      <c r="E16" s="13"/>
      <c r="F16" s="12"/>
      <c r="G16" s="14"/>
    </row>
    <row r="17" spans="1:8" hidden="1" x14ac:dyDescent="0.2">
      <c r="A17" s="16" t="s">
        <v>26</v>
      </c>
      <c r="B17" s="12"/>
      <c r="C17" s="12"/>
      <c r="D17" s="12"/>
      <c r="E17" s="13"/>
      <c r="F17" s="12"/>
      <c r="G17" s="14"/>
    </row>
    <row r="18" spans="1:8" hidden="1" x14ac:dyDescent="0.2">
      <c r="A18" s="16" t="s">
        <v>27</v>
      </c>
      <c r="B18" s="12"/>
      <c r="C18" s="12"/>
      <c r="D18" s="12"/>
      <c r="E18" s="13"/>
      <c r="F18" s="12"/>
      <c r="G18" s="14"/>
    </row>
    <row r="19" spans="1:8" hidden="1" x14ac:dyDescent="0.2">
      <c r="A19" s="16" t="s">
        <v>28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hidden="1" collapsed="1" x14ac:dyDescent="0.2">
      <c r="A32" s="16" t="s">
        <v>32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hidden="1" collapsed="1" x14ac:dyDescent="0.2">
      <c r="A45" s="16" t="s">
        <v>33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hidden="1" collapsed="1" x14ac:dyDescent="0.2">
      <c r="A58" s="16" t="s">
        <v>34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hidden="1" collapsed="1" x14ac:dyDescent="0.2">
      <c r="A71" s="16" t="s">
        <v>35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hidden="1" collapsed="1" x14ac:dyDescent="0.2">
      <c r="A84" s="16" t="s">
        <v>38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hidden="1" collapsed="1" x14ac:dyDescent="0.2">
      <c r="A97" s="16" t="s">
        <v>39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hidden="1" collapsed="1" x14ac:dyDescent="0.2">
      <c r="A110" s="16" t="s">
        <v>40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hidden="1" collapsed="1" x14ac:dyDescent="0.2">
      <c r="A123" s="16" t="s">
        <v>43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hidden="1" collapsed="1" x14ac:dyDescent="0.2">
      <c r="A136" s="16" t="s">
        <v>44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hidden="1" collapsed="1" x14ac:dyDescent="0.2">
      <c r="A149" s="16" t="s">
        <v>45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hidden="1" collapsed="1" x14ac:dyDescent="0.2">
      <c r="A162" s="16" t="s">
        <v>46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hidden="1" collapsed="1" x14ac:dyDescent="0.2">
      <c r="A175" s="16" t="s">
        <v>49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hidden="1" collapsed="1" x14ac:dyDescent="0.2">
      <c r="A188" s="16" t="s">
        <v>52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hidden="1" collapsed="1" x14ac:dyDescent="0.2">
      <c r="A201" s="16" t="s">
        <v>53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hidden="1" collapsed="1" x14ac:dyDescent="0.2">
      <c r="A214" s="16" t="s">
        <v>54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hidden="1" collapsed="1" x14ac:dyDescent="0.2">
      <c r="A227" s="16" t="s">
        <v>55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hidden="1" collapsed="1" x14ac:dyDescent="0.2">
      <c r="A240" s="16" t="s">
        <v>56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hidden="1" collapsed="1" x14ac:dyDescent="0.2">
      <c r="A253" s="16" t="s">
        <v>57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hidden="1" collapsed="1" x14ac:dyDescent="0.2">
      <c r="A266" s="16" t="s">
        <v>58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hidden="1" collapsed="1" x14ac:dyDescent="0.2">
      <c r="A279" s="16" t="s">
        <v>59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5">
        <f>(D280/G278*100)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5">
        <f t="shared" ref="E281:E291" si="2">(D281/G280*100)</f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5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5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5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5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5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5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5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5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5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5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hidden="1" collapsed="1" x14ac:dyDescent="0.2">
      <c r="A292" s="16" t="s">
        <v>60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13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5">
        <f>(D293/G291*100)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5">
        <f t="shared" ref="E294:E304" si="4">(D294/G293*100)</f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5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5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5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5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5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5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5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5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5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5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hidden="1" collapsed="1" x14ac:dyDescent="0.2">
      <c r="A305" s="16" t="s">
        <v>61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147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5">
        <f>(D306/G304*100)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5">
        <f t="shared" ref="E307:E317" si="6">(D307/G306*100)</f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5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5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5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5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5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5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5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5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5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5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hidden="1" collapsed="1" x14ac:dyDescent="0.2">
      <c r="A318" s="16" t="s">
        <v>62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13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5">
        <f>(D319/G317*100)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5">
        <f t="shared" ref="E320:E330" si="8">(D320/G319*100)</f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5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5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5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5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5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5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5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5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5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5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hidden="1" collapsed="1" x14ac:dyDescent="0.2">
      <c r="A331" s="16" t="s">
        <v>63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147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5">
        <f>(D332/G330*100)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5">
        <f t="shared" ref="E333:E343" si="10">(D333/G332*100)</f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5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5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5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5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5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5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5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5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5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5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hidden="1" collapsed="1" x14ac:dyDescent="0.2">
      <c r="A344" s="16" t="s">
        <v>64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13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5">
        <f>(D345/G343*100)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5">
        <f t="shared" ref="E346:E356" si="13">(D346/G345*100)</f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5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5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5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5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5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5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5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5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5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5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hidden="1" collapsed="1" x14ac:dyDescent="0.2">
      <c r="A357" s="16" t="s">
        <v>65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13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5">
        <f>(D358/G356*100)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5">
        <f t="shared" ref="E359:E369" si="15">(D359/G358*100)</f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5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5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5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5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5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5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5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5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5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5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hidden="1" collapsed="1" x14ac:dyDescent="0.2">
      <c r="A370" s="16" t="s">
        <v>66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13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5">
        <f>(D371/G369*100)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5">
        <f t="shared" ref="E372:E381" si="17">(D372/G371*100)</f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5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5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5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5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5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5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5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5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5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5">
        <f>(D382/G381*100)</f>
        <v>3.1779998605620237</v>
      </c>
      <c r="F382" s="4">
        <f t="shared" si="18"/>
        <v>317.4519999999975</v>
      </c>
      <c r="G382" s="4">
        <v>65477.998</v>
      </c>
      <c r="H382" s="6"/>
    </row>
    <row r="383" spans="1:8" hidden="1" collapsed="1" x14ac:dyDescent="0.2">
      <c r="A383" s="16" t="s">
        <v>67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13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5">
        <f>(D384/G382*100)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5">
        <f>(D385/G384*100)</f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5">
        <f t="shared" ref="E386:E391" si="19">(D386/G385*100)</f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5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5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5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5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5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5">
        <f>(D392/G391*100)</f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5">
        <f>(D393/G392*100)</f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5">
        <f>(D394/G393*100)</f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5">
        <f>(D395/G394*100)</f>
        <v>2.0275023901533369</v>
      </c>
      <c r="F395" s="4">
        <f>(G395-G394-D395)</f>
        <v>409.25799999998708</v>
      </c>
      <c r="G395" s="4">
        <v>78920.573999999993</v>
      </c>
    </row>
    <row r="396" spans="1:7" hidden="1" collapsed="1" x14ac:dyDescent="0.2">
      <c r="A396" s="16" t="s">
        <v>68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13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5">
        <f>(D397/G395*100)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5">
        <f>(D398/G397*100)</f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5">
        <f t="shared" ref="E399:E404" si="22">(D399/G398*100)</f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5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5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5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5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5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5">
        <f>(D405/G404*100)</f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5">
        <f>(D406/G405*100)</f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5">
        <f>(D407/G406*100)</f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5">
        <f>(D408/G407*100)</f>
        <v>2.7373648639230526</v>
      </c>
      <c r="F408" s="4">
        <f>(G408-G407-D408)</f>
        <v>476.93199999999342</v>
      </c>
      <c r="G408" s="4">
        <v>89439.721999999994</v>
      </c>
    </row>
    <row r="409" spans="1:7" hidden="1" collapsed="1" x14ac:dyDescent="0.2">
      <c r="A409" s="16" t="s">
        <v>69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13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5">
        <f>(D410/G408*100)</f>
        <v>0.45223530547199065</v>
      </c>
      <c r="F410" s="4">
        <f t="shared" ref="F410:F421" si="25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5">
        <f t="shared" ref="E411:E418" si="26">(D411/G410*100)</f>
        <v>-0.22449746621673161</v>
      </c>
      <c r="F411" s="4">
        <f t="shared" si="25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5">
        <f t="shared" si="26"/>
        <v>1.9398414006759603E-2</v>
      </c>
      <c r="F412" s="4">
        <f t="shared" si="25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5">
        <f t="shared" si="26"/>
        <v>0.47788268207181184</v>
      </c>
      <c r="F413" s="4">
        <f t="shared" si="25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5">
        <f t="shared" si="26"/>
        <v>1.4580465524138921</v>
      </c>
      <c r="F414" s="4">
        <f t="shared" si="25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5">
        <f t="shared" si="26"/>
        <v>1.0873903539094014</v>
      </c>
      <c r="F415" s="4">
        <f t="shared" si="25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5">
        <f t="shared" si="26"/>
        <v>2.3108665417920298</v>
      </c>
      <c r="F416" s="4">
        <f t="shared" si="25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5">
        <f t="shared" si="26"/>
        <v>1.4143333428335307</v>
      </c>
      <c r="F417" s="4">
        <f t="shared" si="25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5">
        <f t="shared" si="26"/>
        <v>1.68485162452841</v>
      </c>
      <c r="F418" s="4">
        <f t="shared" si="25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5">
        <f>(D419/G418*100)</f>
        <v>1.0352829469840878</v>
      </c>
      <c r="F419" s="4">
        <f t="shared" si="25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5">
        <f>(D420/G419*100)</f>
        <v>0.77259822286671975</v>
      </c>
      <c r="F420" s="4">
        <f t="shared" si="25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5">
        <f>(D421/G420*100)</f>
        <v>2.2238887365812623</v>
      </c>
      <c r="F421" s="4">
        <f t="shared" si="25"/>
        <v>475.36300000000483</v>
      </c>
      <c r="G421" s="4">
        <v>107660.772</v>
      </c>
    </row>
    <row r="422" spans="1:7" hidden="1" collapsed="1" x14ac:dyDescent="0.2">
      <c r="A422" s="16" t="s">
        <v>70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13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5">
        <f>(D423/G421*100)</f>
        <v>1.2227025457331844</v>
      </c>
      <c r="F423" s="4">
        <f t="shared" ref="F423:F429" si="28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5">
        <f t="shared" ref="E424:E429" si="29">(D424/G423*100)</f>
        <v>0.52024382906678823</v>
      </c>
      <c r="F424" s="4">
        <f t="shared" si="28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5">
        <f t="shared" si="29"/>
        <v>1.3000511777741632</v>
      </c>
      <c r="F425" s="4">
        <f t="shared" si="28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5">
        <f t="shared" si="29"/>
        <v>0.7333925124975017</v>
      </c>
      <c r="F426" s="4">
        <f t="shared" si="28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5">
        <f t="shared" si="29"/>
        <v>1.2477252294605234</v>
      </c>
      <c r="F427" s="4">
        <f t="shared" si="28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5">
        <f t="shared" si="29"/>
        <v>2.3676517924066149</v>
      </c>
      <c r="F428" s="4">
        <f t="shared" si="28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5">
        <f t="shared" si="29"/>
        <v>1.2142870242412782</v>
      </c>
      <c r="F429" s="4">
        <f t="shared" si="28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5">
        <f>(D430/G429*100)</f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5">
        <f>(D431/G430*100)</f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5">
        <f>(D432/G431*100)</f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5">
        <f>(D433/G432*100)</f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5">
        <f>(D434/G433*100)</f>
        <v>2.3132571222099432</v>
      </c>
      <c r="F434" s="4">
        <f>(G434-G433-D434)</f>
        <v>668.38399999999092</v>
      </c>
      <c r="G434" s="4">
        <v>131154.416</v>
      </c>
    </row>
    <row r="435" spans="1:7" hidden="1" collapsed="1" x14ac:dyDescent="0.2">
      <c r="A435" s="16" t="s">
        <v>71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13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5">
        <f>(D436/G434*100)</f>
        <v>0.78767687090307381</v>
      </c>
      <c r="F436" s="4">
        <f t="shared" ref="F436:F441" si="31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5">
        <f t="shared" ref="E437:E442" si="32">(D437/G436*100)</f>
        <v>-4.8963431385931386E-2</v>
      </c>
      <c r="F437" s="4">
        <f t="shared" si="31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5">
        <f t="shared" si="32"/>
        <v>6.0728767519928784E-2</v>
      </c>
      <c r="F438" s="4">
        <f t="shared" si="31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5">
        <f t="shared" si="32"/>
        <v>-0.40024481438025239</v>
      </c>
      <c r="F439" s="4">
        <f t="shared" si="31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5">
        <f t="shared" si="32"/>
        <v>6.8777463780916939E-2</v>
      </c>
      <c r="F440" s="4">
        <f t="shared" si="31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5">
        <f t="shared" si="32"/>
        <v>0.50566668546095783</v>
      </c>
      <c r="F441" s="4">
        <f t="shared" si="31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5">
        <f t="shared" si="32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5">
        <f>(D443/G442*100)</f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5">
        <f>(D444/G443*100)</f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5">
        <f>(D445/G444*100)</f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5">
        <f>(D446/G445*100)</f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5">
        <f>(D447/G446*100)</f>
        <v>0.46998051491977733</v>
      </c>
      <c r="F447" s="4">
        <f t="shared" si="34"/>
        <v>774.99699999998847</v>
      </c>
      <c r="G447" s="4">
        <v>140383.609</v>
      </c>
    </row>
    <row r="448" spans="1:7" hidden="1" collapsed="1" x14ac:dyDescent="0.2">
      <c r="A448" s="16" t="s">
        <v>72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13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5">
        <f>IF(G448="","",(D449/G448)*100)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5">
        <f>IF(G449="",0,(D450/G449)*100)</f>
        <v>-0.99397728906353044</v>
      </c>
      <c r="F450" s="4">
        <f t="shared" ref="F450:F460" si="36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5">
        <f t="shared" ref="E451:E460" si="37">IF(G450="",0,(D451/G450)*100)</f>
        <v>-1.6039337381044634</v>
      </c>
      <c r="F451" s="4">
        <f t="shared" si="36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5">
        <f t="shared" si="37"/>
        <v>-0.45271508133362265</v>
      </c>
      <c r="F452" s="4">
        <f t="shared" si="36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5">
        <f t="shared" si="37"/>
        <v>1.5109934412085113</v>
      </c>
      <c r="F453" s="4">
        <f t="shared" si="36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5">
        <f t="shared" si="37"/>
        <v>0.60562811166179598</v>
      </c>
      <c r="F454" s="4">
        <f t="shared" si="36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5">
        <f t="shared" si="37"/>
        <v>-5.6956138500415747E-2</v>
      </c>
      <c r="F455" s="4">
        <f t="shared" si="36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5">
        <f t="shared" si="37"/>
        <v>-0.18806511345708501</v>
      </c>
      <c r="F456" s="4">
        <f t="shared" si="36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5">
        <f t="shared" si="37"/>
        <v>5.7770715095853409E-2</v>
      </c>
      <c r="F457" s="4">
        <f t="shared" si="36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5">
        <f t="shared" si="37"/>
        <v>-0.29044684471276672</v>
      </c>
      <c r="F458" s="4">
        <f t="shared" si="36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5">
        <f t="shared" si="37"/>
        <v>-0.23391160044915521</v>
      </c>
      <c r="F459" s="4">
        <f t="shared" si="36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5">
        <f t="shared" si="37"/>
        <v>-4.0428342385322803E-4</v>
      </c>
      <c r="F460" s="4">
        <f t="shared" si="36"/>
        <v>935.39400000002934</v>
      </c>
      <c r="G460" s="4">
        <v>147366.72700000001</v>
      </c>
    </row>
    <row r="461" spans="1:7" hidden="1" collapsed="1" x14ac:dyDescent="0.2">
      <c r="A461" s="16" t="s">
        <v>73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147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5">
        <f>IF(G461="","",(D462/G461)*100)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5">
        <f>IF(G462="",0,(D463/G462)*100)</f>
        <v>6.5632688297365349E-2</v>
      </c>
      <c r="F463" s="4">
        <f t="shared" ref="F463:F473" si="39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5">
        <f t="shared" ref="E464:E473" si="40">IF(G463="",0,(D464/G463)*100)</f>
        <v>-0.13300223935254213</v>
      </c>
      <c r="F464" s="4">
        <f t="shared" si="39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5">
        <f t="shared" si="40"/>
        <v>-1.316517752987773</v>
      </c>
      <c r="F465" s="4">
        <f t="shared" si="39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5">
        <f t="shared" si="40"/>
        <v>-1.6477960286936675</v>
      </c>
      <c r="F466" s="4">
        <f t="shared" si="39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5">
        <f t="shared" si="40"/>
        <v>-0.64090464048246265</v>
      </c>
      <c r="F467" s="4">
        <f t="shared" si="39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5">
        <f t="shared" si="40"/>
        <v>-0.1407244918035449</v>
      </c>
      <c r="F468" s="4">
        <f t="shared" si="39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5">
        <f t="shared" si="40"/>
        <v>-0.65169786100577931</v>
      </c>
      <c r="F469" s="4">
        <f t="shared" si="39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5">
        <f t="shared" si="40"/>
        <v>-0.30055694863213001</v>
      </c>
      <c r="F470" s="4">
        <f t="shared" si="39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5">
        <f t="shared" si="40"/>
        <v>-0.64393965782808404</v>
      </c>
      <c r="F471" s="4">
        <f t="shared" si="39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5">
        <f t="shared" si="40"/>
        <v>-0.49171900814884534</v>
      </c>
      <c r="F472" s="4">
        <f t="shared" si="39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5">
        <f t="shared" si="40"/>
        <v>1.138512238107279</v>
      </c>
      <c r="F473" s="4">
        <f t="shared" si="39"/>
        <v>919.21400000000722</v>
      </c>
      <c r="G473" s="4">
        <v>149036.99400000001</v>
      </c>
    </row>
    <row r="474" spans="1:7" hidden="1" collapsed="1" x14ac:dyDescent="0.2">
      <c r="A474" s="16" t="s">
        <v>74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147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5">
        <f>IF(G474="","",(D475/G474)*100)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5">
        <f>IF(G475="",0,(D476/G475)*100)</f>
        <v>-0.79987512812287553</v>
      </c>
      <c r="F476" s="4">
        <f t="shared" ref="F476:F486" si="42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5">
        <f t="shared" ref="E477:E486" si="43">IF(G476="",0,(D477/G476)*100)</f>
        <v>-0.98457469119624919</v>
      </c>
      <c r="F477" s="4">
        <f t="shared" si="42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5">
        <f t="shared" si="43"/>
        <v>-0.53038432322645201</v>
      </c>
      <c r="F478" s="4">
        <f t="shared" si="42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5">
        <f t="shared" si="43"/>
        <v>8.1612194485316106E-2</v>
      </c>
      <c r="F479" s="4">
        <f t="shared" si="42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5">
        <f t="shared" si="43"/>
        <v>0.82323599794735125</v>
      </c>
      <c r="F480" s="4">
        <f t="shared" si="42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5">
        <f t="shared" si="43"/>
        <v>0.82134251383607793</v>
      </c>
      <c r="F481" s="4">
        <f t="shared" si="42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5">
        <f t="shared" si="43"/>
        <v>0.32812474515600831</v>
      </c>
      <c r="F482" s="4">
        <f t="shared" si="42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5">
        <f t="shared" si="43"/>
        <v>0.31820287966085276</v>
      </c>
      <c r="F483" s="4">
        <f t="shared" si="42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5">
        <f t="shared" si="43"/>
        <v>-0.21932065118680905</v>
      </c>
      <c r="F484" s="4">
        <f t="shared" si="42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5">
        <f t="shared" si="43"/>
        <v>0.10079077194045856</v>
      </c>
      <c r="F485" s="4">
        <f t="shared" si="42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5">
        <f t="shared" si="43"/>
        <v>2.8337351134291358</v>
      </c>
      <c r="F486" s="4">
        <f t="shared" si="42"/>
        <v>660.90300000001662</v>
      </c>
      <c r="G486" s="4">
        <v>160861.77100000001</v>
      </c>
    </row>
    <row r="487" spans="1:7" hidden="1" collapsed="1" x14ac:dyDescent="0.2">
      <c r="A487" s="16" t="s">
        <v>75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13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5">
        <f>IF(G487="","",(D488/G487)*100)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5">
        <f>IF(G488="",0,(D489/G488)*100)</f>
        <v>-7.5574426929266261E-2</v>
      </c>
      <c r="F489" s="4">
        <f t="shared" ref="F489:F493" si="45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6">B490-C490</f>
        <v>1125.3719999999994</v>
      </c>
      <c r="E490" s="5">
        <f t="shared" ref="E490:E499" si="47">IF(G489="",0,(D490/G489)*100)</f>
        <v>0.69544362107655155</v>
      </c>
      <c r="F490" s="4">
        <f t="shared" si="45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6"/>
        <v>1171.8890000000029</v>
      </c>
      <c r="E491" s="5">
        <f t="shared" si="47"/>
        <v>0.71634584027410209</v>
      </c>
      <c r="F491" s="4">
        <f t="shared" si="45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6"/>
        <v>1160.0289999999986</v>
      </c>
      <c r="E492" s="5">
        <f t="shared" si="47"/>
        <v>0.7013408237240345</v>
      </c>
      <c r="F492" s="4">
        <f t="shared" si="45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6"/>
        <v>1736.3460000000014</v>
      </c>
      <c r="E493" s="5">
        <f t="shared" si="47"/>
        <v>1.0385437560752582</v>
      </c>
      <c r="F493" s="4">
        <f t="shared" si="45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6"/>
        <v>1680.5550000000003</v>
      </c>
      <c r="E494" s="5">
        <f t="shared" si="47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6"/>
        <v>1457.6640000000007</v>
      </c>
      <c r="E495" s="5">
        <f t="shared" si="47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6"/>
        <v>1762.4029999999984</v>
      </c>
      <c r="E496" s="5">
        <f t="shared" si="47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6"/>
        <v>-398.22999999999593</v>
      </c>
      <c r="E497" s="5">
        <f t="shared" si="47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6"/>
        <v>-1265.5610000000015</v>
      </c>
      <c r="E498" s="5">
        <f t="shared" si="47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6"/>
        <v>2387.1030000000028</v>
      </c>
      <c r="E499" s="5">
        <f t="shared" si="47"/>
        <v>1.3556642124997336</v>
      </c>
      <c r="F499" s="4">
        <v>664.17700000000002</v>
      </c>
      <c r="G499" s="4">
        <v>179134.93900000001</v>
      </c>
    </row>
    <row r="500" spans="1:7" hidden="1" collapsed="1" x14ac:dyDescent="0.2">
      <c r="A500" s="16" t="s">
        <v>76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13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5">
        <f>IF(G500="","",(D501/G500)*100)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5">
        <f>IF(G501="",0,(D502/G501)*100)</f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49">B503-C503</f>
        <v>285.42999999999665</v>
      </c>
      <c r="E503" s="5">
        <f t="shared" ref="E503:E512" si="50">IF(G502="",0,(D503/G502)*100)</f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49"/>
        <v>-52.233000000000175</v>
      </c>
      <c r="E504" s="5">
        <f t="shared" si="50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49"/>
        <v>-254.84200000000419</v>
      </c>
      <c r="E505" s="5">
        <f t="shared" si="50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49"/>
        <v>-272.28999999999724</v>
      </c>
      <c r="E506" s="5">
        <f t="shared" si="50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49"/>
        <v>230.82500000000437</v>
      </c>
      <c r="E507" s="5">
        <f t="shared" si="50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49"/>
        <v>286.47799999999916</v>
      </c>
      <c r="E508" s="5">
        <f t="shared" si="50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49"/>
        <v>632.89300000000003</v>
      </c>
      <c r="E509" s="5">
        <f t="shared" si="50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49"/>
        <v>103.35199999999895</v>
      </c>
      <c r="E510" s="5">
        <f t="shared" si="50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49"/>
        <v>-622.80099999999948</v>
      </c>
      <c r="E511" s="5">
        <f t="shared" si="50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49"/>
        <v>3613.8400000000038</v>
      </c>
      <c r="E512" s="5">
        <f t="shared" si="50"/>
        <v>1.9666960595712184</v>
      </c>
      <c r="F512" s="4">
        <v>567.42399999999998</v>
      </c>
      <c r="G512" s="4">
        <v>187933.103</v>
      </c>
    </row>
    <row r="513" spans="1:7" collapsed="1" x14ac:dyDescent="0.2">
      <c r="A513" s="16" t="s">
        <v>77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13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5">
        <f>IF(G513="","",(D514/G513)*100)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5">
        <f>IF(G514="",0,(D515/G514)*100)</f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5">
        <f t="shared" ref="E516:E525" si="52">IF(G515="",0,(D516/G515)*100)</f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5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5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5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5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5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5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5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5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5">
        <f t="shared" si="52"/>
        <v>2.0273310479501117</v>
      </c>
      <c r="F525" s="4">
        <v>363.036</v>
      </c>
      <c r="G525" s="4">
        <v>234189.821</v>
      </c>
    </row>
    <row r="526" spans="1:7" collapsed="1" x14ac:dyDescent="0.2">
      <c r="A526" s="16" t="s">
        <v>78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13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5">
        <f>IF(G526="","",(D527/G526)*100)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5">
        <f>IF(G527="",0,(D528/G527)*100)</f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5">
        <f t="shared" ref="E529:E538" si="54">IF(G528="",0,(D529/G528)*100)</f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5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5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5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5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5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5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5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5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5">
        <f t="shared" si="54"/>
        <v>0.63943940263868637</v>
      </c>
      <c r="F538" s="4">
        <v>1021.977</v>
      </c>
      <c r="G538" s="4">
        <v>240493.997</v>
      </c>
    </row>
    <row r="539" spans="1:7" collapsed="1" x14ac:dyDescent="0.2">
      <c r="A539" s="16" t="s">
        <v>79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147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149">
        <f>IF(G539="","",(D540/G539)*100)</f>
        <v>-1.6582368166137631</v>
      </c>
      <c r="F540" s="4">
        <v>1259.952</v>
      </c>
      <c r="G540" s="4">
        <v>237766.00200000001</v>
      </c>
    </row>
    <row r="541" spans="1:7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149">
        <f>IF(G540="",0,(D541/G540)*100)</f>
        <v>-1.2227786880985612</v>
      </c>
      <c r="F541" s="4">
        <v>1240.1959999999999</v>
      </c>
      <c r="G541" s="4">
        <v>236098.85699999999</v>
      </c>
    </row>
    <row r="542" spans="1:7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149">
        <f t="shared" ref="E542:E551" si="56">IF(G541="",0,(D542/G541)*100)</f>
        <v>-1.1686545352483433</v>
      </c>
      <c r="F542" s="4">
        <v>1251.5550000000001</v>
      </c>
      <c r="G542" s="4">
        <v>234591.247</v>
      </c>
    </row>
    <row r="543" spans="1:7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149">
        <f t="shared" si="56"/>
        <v>-0.90993164804652849</v>
      </c>
      <c r="F543" s="4">
        <v>1348.3589999999999</v>
      </c>
      <c r="G543" s="4">
        <v>233804.99400000001</v>
      </c>
    </row>
    <row r="544" spans="1:7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149">
        <f t="shared" si="56"/>
        <v>-0.73097625964310831</v>
      </c>
      <c r="F544" s="4">
        <v>1313.8430000000001</v>
      </c>
      <c r="G544" s="4">
        <v>233409.791</v>
      </c>
    </row>
    <row r="545" spans="1:7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149">
        <f t="shared" si="56"/>
        <v>-0.18087715951898733</v>
      </c>
      <c r="F545" s="4">
        <v>1467.463</v>
      </c>
      <c r="G545" s="4">
        <v>234455.08100000001</v>
      </c>
    </row>
    <row r="546" spans="1:7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149">
        <f t="shared" si="56"/>
        <v>-0.44875163102138066</v>
      </c>
      <c r="F546" s="4">
        <v>1494.9760000000001</v>
      </c>
      <c r="G546" s="4">
        <v>234897.94699999999</v>
      </c>
    </row>
    <row r="547" spans="1:7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149">
        <f t="shared" si="56"/>
        <v>-0.98702267500022023</v>
      </c>
      <c r="F547" s="4">
        <v>1557.3969999999999</v>
      </c>
      <c r="G547" s="4">
        <v>234136.856</v>
      </c>
    </row>
    <row r="548" spans="1:7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149">
        <f t="shared" si="56"/>
        <v>-0.40470262400721624</v>
      </c>
      <c r="F548" s="4">
        <v>1537.355</v>
      </c>
      <c r="G548" s="4">
        <v>234726.66</v>
      </c>
    </row>
    <row r="549" spans="1:7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149">
        <f t="shared" si="56"/>
        <v>-0.67332743540933926</v>
      </c>
      <c r="F549" s="4">
        <v>1501.873</v>
      </c>
      <c r="G549" s="4">
        <v>234643.46799999999</v>
      </c>
    </row>
    <row r="550" spans="1:7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149">
        <f t="shared" si="56"/>
        <v>-1.3056996753900696</v>
      </c>
      <c r="F550" s="4">
        <v>1475.028</v>
      </c>
      <c r="G550" s="4">
        <v>233054.769</v>
      </c>
    </row>
    <row r="551" spans="1:7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149">
        <f t="shared" si="56"/>
        <v>0.25318426330937022</v>
      </c>
      <c r="F551" s="4">
        <v>1483.4059999999999</v>
      </c>
      <c r="G551" s="4">
        <v>235128.245</v>
      </c>
    </row>
    <row r="552" spans="1:7" x14ac:dyDescent="0.2">
      <c r="A552" s="16" t="s">
        <v>80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147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149">
        <f>IF(G552="","",(D553/G552)*100)</f>
        <v>-2.7278258296871152</v>
      </c>
      <c r="F553" s="4">
        <v>1593.7750000000001</v>
      </c>
      <c r="G553" s="4">
        <v>230308.14300000001</v>
      </c>
    </row>
    <row r="554" spans="1:7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149">
        <f>IF(G553="",0,(D554/G553)*100)</f>
        <v>-1.2757529810832613</v>
      </c>
      <c r="F554" s="4">
        <v>1530.1790000000001</v>
      </c>
      <c r="G554" s="4">
        <v>228900.17199999999</v>
      </c>
    </row>
    <row r="555" spans="1:7" outlineLevel="1" x14ac:dyDescent="0.2">
      <c r="A555" s="15">
        <v>44986</v>
      </c>
      <c r="B555" s="4">
        <v>44473.587</v>
      </c>
      <c r="C555" s="4">
        <v>44895.942999999999</v>
      </c>
      <c r="D555" s="148">
        <f t="shared" si="57"/>
        <v>-422.35599999999977</v>
      </c>
      <c r="E555" s="149">
        <f t="shared" ref="E555:E564" si="58">IF(G554="",0,(D555/G554)*100)</f>
        <v>-0.18451537030736692</v>
      </c>
      <c r="F555" s="4">
        <v>1340.4649999999999</v>
      </c>
      <c r="G555" s="4">
        <v>229818.28899999999</v>
      </c>
    </row>
    <row r="556" spans="1:7" outlineLevel="1" x14ac:dyDescent="0.2">
      <c r="A556" s="15">
        <v>45017</v>
      </c>
      <c r="B556" s="4">
        <v>38654.925000000003</v>
      </c>
      <c r="C556" s="4">
        <v>39831.290999999997</v>
      </c>
      <c r="D556" s="148">
        <f t="shared" si="57"/>
        <v>-1176.3659999999945</v>
      </c>
      <c r="E556" s="149">
        <f t="shared" si="58"/>
        <v>-0.51186787836541348</v>
      </c>
      <c r="F556" s="4">
        <v>1506.9179999999999</v>
      </c>
      <c r="G556" s="4">
        <v>230148.85399999999</v>
      </c>
    </row>
    <row r="557" spans="1:7" outlineLevel="1" x14ac:dyDescent="0.2">
      <c r="A557" s="15">
        <v>45047</v>
      </c>
      <c r="B557" s="4">
        <v>45114.913</v>
      </c>
      <c r="C557" s="4">
        <v>46418.267999999996</v>
      </c>
      <c r="D557" s="148">
        <f t="shared" si="57"/>
        <v>-1303.3549999999959</v>
      </c>
      <c r="E557" s="149">
        <f t="shared" si="58"/>
        <v>-0.56630957632315471</v>
      </c>
      <c r="F557" s="4">
        <v>1365.5319999999999</v>
      </c>
      <c r="G557" s="4">
        <v>230211.04</v>
      </c>
    </row>
    <row r="558" spans="1:7" outlineLevel="1" x14ac:dyDescent="0.2">
      <c r="A558" s="15">
        <v>45078</v>
      </c>
      <c r="B558" s="4">
        <v>44324.413999999997</v>
      </c>
      <c r="C558" s="4">
        <v>44150.248</v>
      </c>
      <c r="D558" s="4">
        <f t="shared" si="57"/>
        <v>174.16599999999744</v>
      </c>
      <c r="E558" s="5">
        <f t="shared" si="58"/>
        <v>7.5654929494257728E-2</v>
      </c>
      <c r="F558" s="4">
        <v>1507.644</v>
      </c>
      <c r="G558" s="4">
        <v>231892.859</v>
      </c>
    </row>
    <row r="559" spans="1:7" outlineLevel="1" x14ac:dyDescent="0.2">
      <c r="A559" s="15">
        <v>45108</v>
      </c>
      <c r="B559" s="4">
        <v>45606.171999999999</v>
      </c>
      <c r="C559" s="4">
        <v>45485.256000000001</v>
      </c>
      <c r="D559" s="4">
        <f t="shared" si="57"/>
        <v>120.91599999999744</v>
      </c>
      <c r="E559" s="5">
        <f t="shared" si="58"/>
        <v>5.2143045940020706E-2</v>
      </c>
      <c r="F559" s="4">
        <v>1473.575</v>
      </c>
      <c r="G559" s="4">
        <v>233474.90599999999</v>
      </c>
    </row>
    <row r="560" spans="1:7" outlineLevel="1" x14ac:dyDescent="0.2">
      <c r="A560" s="15">
        <v>45139</v>
      </c>
      <c r="B560" s="4">
        <v>44407.803999999996</v>
      </c>
      <c r="C560" s="4">
        <v>46013.218999999997</v>
      </c>
      <c r="D560" s="4">
        <f t="shared" si="57"/>
        <v>-1605.4150000000009</v>
      </c>
      <c r="E560" s="5">
        <f t="shared" si="58"/>
        <v>-0.68761779477919616</v>
      </c>
      <c r="F560" s="4">
        <v>1519.271</v>
      </c>
      <c r="G560" s="4">
        <v>233380.318</v>
      </c>
    </row>
    <row r="561" spans="1:7" outlineLevel="1" x14ac:dyDescent="0.2">
      <c r="A561" s="15">
        <v>45170</v>
      </c>
      <c r="B561" s="4"/>
      <c r="C561" s="4"/>
      <c r="D561" s="4">
        <f t="shared" si="57"/>
        <v>0</v>
      </c>
      <c r="E561" s="5">
        <f t="shared" si="58"/>
        <v>0</v>
      </c>
      <c r="F561" s="4"/>
      <c r="G561" s="4"/>
    </row>
    <row r="562" spans="1:7" outlineLevel="1" x14ac:dyDescent="0.2">
      <c r="A562" s="15">
        <v>45200</v>
      </c>
      <c r="B562" s="4"/>
      <c r="C562" s="4"/>
      <c r="D562" s="4">
        <f t="shared" si="57"/>
        <v>0</v>
      </c>
      <c r="E562" s="5">
        <f t="shared" si="58"/>
        <v>0</v>
      </c>
      <c r="F562" s="4"/>
      <c r="G562" s="4"/>
    </row>
    <row r="563" spans="1:7" outlineLevel="1" x14ac:dyDescent="0.2">
      <c r="A563" s="15">
        <v>45231</v>
      </c>
      <c r="B563" s="4"/>
      <c r="C563" s="4"/>
      <c r="D563" s="4">
        <f t="shared" si="57"/>
        <v>0</v>
      </c>
      <c r="E563" s="5">
        <f t="shared" si="58"/>
        <v>0</v>
      </c>
      <c r="F563" s="4"/>
      <c r="G563" s="4"/>
    </row>
    <row r="564" spans="1:7" outlineLevel="1" x14ac:dyDescent="0.2">
      <c r="A564" s="15">
        <v>45261</v>
      </c>
      <c r="B564" s="4"/>
      <c r="C564" s="4"/>
      <c r="D564" s="4">
        <f t="shared" si="57"/>
        <v>0</v>
      </c>
      <c r="E564" s="5">
        <f t="shared" si="58"/>
        <v>0</v>
      </c>
      <c r="F564" s="4"/>
      <c r="G564" s="4"/>
    </row>
    <row r="565" spans="1:7" x14ac:dyDescent="0.2">
      <c r="A565" s="16" t="s">
        <v>81</v>
      </c>
      <c r="B565" s="12">
        <f>SUM(B553:B564)</f>
        <v>338543.88199999998</v>
      </c>
      <c r="C565" s="12">
        <f>SUM(C553:C564)</f>
        <v>352108.34399999998</v>
      </c>
      <c r="D565" s="146">
        <f>SUM(D553:D564)</f>
        <v>-13564.462</v>
      </c>
      <c r="E565" s="147">
        <f>(D565/G552*100)</f>
        <v>-5.7689632311081978</v>
      </c>
      <c r="F565" s="12">
        <f>SUM(F553:F564)</f>
        <v>11837.359</v>
      </c>
      <c r="G565" s="14">
        <f>IFERROR(INDEX($G$553:$G$564,COUNTA($G$553:$G$564)),0)</f>
        <v>233380.318</v>
      </c>
    </row>
    <row r="566" spans="1:7" x14ac:dyDescent="0.2">
      <c r="A566" s="49" t="s">
        <v>83</v>
      </c>
      <c r="B566" s="4"/>
      <c r="C566" s="4"/>
      <c r="D566" s="17"/>
      <c r="E566" s="5"/>
      <c r="F566" s="4"/>
      <c r="G566" s="4"/>
    </row>
    <row r="567" spans="1:7" ht="5.25" customHeight="1" x14ac:dyDescent="0.2">
      <c r="A567" s="18"/>
      <c r="B567" s="4"/>
      <c r="C567" s="4"/>
      <c r="D567" s="17"/>
      <c r="E567" s="5"/>
      <c r="F567" s="4"/>
      <c r="G567" s="4"/>
    </row>
    <row r="568" spans="1:7" x14ac:dyDescent="0.2">
      <c r="A568" s="60" t="s">
        <v>84</v>
      </c>
      <c r="B568" s="54"/>
      <c r="C568" s="54"/>
      <c r="D568" s="55"/>
      <c r="E568" s="56" t="s">
        <v>85</v>
      </c>
      <c r="F568" s="54"/>
      <c r="G568" s="54"/>
    </row>
    <row r="569" spans="1:7" x14ac:dyDescent="0.2">
      <c r="A569" s="61" t="s">
        <v>86</v>
      </c>
      <c r="B569" s="53"/>
      <c r="C569" s="53"/>
      <c r="D569" s="53"/>
      <c r="E569" s="57" t="s">
        <v>87</v>
      </c>
      <c r="F569" s="53"/>
      <c r="G569" s="53"/>
    </row>
    <row r="570" spans="1:7" x14ac:dyDescent="0.2">
      <c r="A570" s="62" t="s">
        <v>88</v>
      </c>
      <c r="B570" s="58"/>
      <c r="C570" s="58"/>
      <c r="D570" s="58"/>
      <c r="E570" s="59" t="s">
        <v>89</v>
      </c>
      <c r="F570" s="58"/>
      <c r="G570" s="58"/>
    </row>
    <row r="571" spans="1:7" ht="4.5" customHeight="1" x14ac:dyDescent="0.2">
      <c r="B571" s="1"/>
      <c r="C571" s="1"/>
      <c r="D571" s="1"/>
      <c r="E571" s="1"/>
    </row>
    <row r="572" spans="1:7" x14ac:dyDescent="0.2">
      <c r="B572" s="1"/>
      <c r="C572" s="1"/>
      <c r="D572" s="1"/>
      <c r="E572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1"/>
  <sheetViews>
    <sheetView showGridLines="0" zoomScaleNormal="100" workbookViewId="0">
      <pane xSplit="1" ySplit="8" topLeftCell="B34" activePane="bottomRight" state="frozen"/>
      <selection pane="topRight" activeCell="B491" sqref="B491:C491"/>
      <selection pane="bottomLeft" activeCell="B491" sqref="B491:C491"/>
      <selection pane="bottomRight" activeCell="Q53" sqref="Q53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0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90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91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5" t="s">
        <v>3</v>
      </c>
      <c r="C6" s="166"/>
      <c r="D6" s="166"/>
      <c r="E6" s="167"/>
      <c r="F6" s="166" t="s">
        <v>92</v>
      </c>
      <c r="G6" s="166"/>
      <c r="H6" s="166"/>
      <c r="I6" s="167"/>
      <c r="J6" s="166" t="s">
        <v>93</v>
      </c>
      <c r="K6" s="166"/>
      <c r="L6" s="166"/>
      <c r="M6" s="166"/>
    </row>
    <row r="7" spans="1:13" x14ac:dyDescent="0.25">
      <c r="A7" s="168" t="s">
        <v>94</v>
      </c>
      <c r="B7" s="162" t="s">
        <v>9</v>
      </c>
      <c r="C7" s="161"/>
      <c r="D7" s="163" t="s">
        <v>95</v>
      </c>
      <c r="E7" s="169"/>
      <c r="F7" s="170" t="s">
        <v>9</v>
      </c>
      <c r="G7" s="171"/>
      <c r="H7" s="172" t="s">
        <v>95</v>
      </c>
      <c r="I7" s="173"/>
      <c r="J7" s="162" t="s">
        <v>9</v>
      </c>
      <c r="K7" s="161"/>
      <c r="L7" s="163" t="s">
        <v>95</v>
      </c>
      <c r="M7" s="164"/>
    </row>
    <row r="8" spans="1:13" x14ac:dyDescent="0.25">
      <c r="A8" s="168"/>
      <c r="B8" s="20" t="s">
        <v>2</v>
      </c>
      <c r="C8" s="21" t="s">
        <v>96</v>
      </c>
      <c r="D8" s="21" t="s">
        <v>2</v>
      </c>
      <c r="E8" s="22" t="s">
        <v>96</v>
      </c>
      <c r="F8" s="20" t="s">
        <v>2</v>
      </c>
      <c r="G8" s="21" t="s">
        <v>96</v>
      </c>
      <c r="H8" s="21" t="s">
        <v>2</v>
      </c>
      <c r="I8" s="22" t="s">
        <v>96</v>
      </c>
      <c r="J8" s="20" t="s">
        <v>2</v>
      </c>
      <c r="K8" s="21" t="s">
        <v>96</v>
      </c>
      <c r="L8" s="21" t="s">
        <v>2</v>
      </c>
      <c r="M8" s="23" t="s">
        <v>96</v>
      </c>
    </row>
    <row r="9" spans="1:13" hidden="1" x14ac:dyDescent="0.25">
      <c r="A9" s="24" t="s">
        <v>97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98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99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100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101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102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103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104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105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106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107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108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109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110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111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112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113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114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115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116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117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118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119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120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121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x14ac:dyDescent="0.25">
      <c r="A34" s="29" t="s">
        <v>122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31">
        <f t="shared" si="20"/>
        <v>6.0434831482413909E-2</v>
      </c>
      <c r="L34" s="43">
        <f>SUM(D34,H34)</f>
        <v>13327.072000000069</v>
      </c>
      <c r="M34" s="34">
        <f t="shared" si="21"/>
        <v>1.6715652281402371E-2</v>
      </c>
    </row>
    <row r="35" spans="1:13" x14ac:dyDescent="0.25">
      <c r="A35" s="24" t="s">
        <v>123</v>
      </c>
      <c r="B35" s="25">
        <f>SBPE_Mensal!G526</f>
        <v>801437.98499999999</v>
      </c>
      <c r="C35" s="71">
        <f t="shared" ref="C35" si="26">B35/B34-1</f>
        <v>0.21885880097578658</v>
      </c>
      <c r="D35" s="41">
        <f>SBPE_Mensal!D526</f>
        <v>125352.73900000006</v>
      </c>
      <c r="E35" s="37">
        <f t="shared" ref="E35" si="27">D35/B34</f>
        <v>0.19064143703716613</v>
      </c>
      <c r="F35" s="25">
        <f>Rural_Mensal!G526</f>
        <v>234189.821</v>
      </c>
      <c r="G35" s="71">
        <f t="shared" ref="G35" si="28">F35/F34-1</f>
        <v>0.24613395544264494</v>
      </c>
      <c r="H35" s="41">
        <f>Rural_Mensal!D526</f>
        <v>40957.163000000008</v>
      </c>
      <c r="I35" s="37">
        <f t="shared" ref="I35" si="29">H35/F34</f>
        <v>0.21793479885233422</v>
      </c>
      <c r="J35" s="25">
        <f t="shared" ref="J35" si="30">SUM(B35,F35)</f>
        <v>1035627.806</v>
      </c>
      <c r="K35" s="35">
        <f t="shared" ref="K35" si="31">J35/J34-1</f>
        <v>0.22492162696189699</v>
      </c>
      <c r="L35" s="41">
        <f>SUM(D35,H35)</f>
        <v>166309.90200000006</v>
      </c>
      <c r="M35" s="38">
        <f t="shared" ref="M35" si="32">L35/J34</f>
        <v>0.19670831022251803</v>
      </c>
    </row>
    <row r="36" spans="1:13" x14ac:dyDescent="0.25">
      <c r="A36" s="29" t="s">
        <v>124</v>
      </c>
      <c r="B36" s="30">
        <f>SBPE_Mensal!G539</f>
        <v>790109.01300000004</v>
      </c>
      <c r="C36" s="70">
        <f t="shared" ref="C36" si="33">B36/B35-1</f>
        <v>-1.413580615348542E-2</v>
      </c>
      <c r="D36" s="43">
        <f>SBPE_Mensal!D539</f>
        <v>-34755.496999999887</v>
      </c>
      <c r="E36" s="150">
        <f t="shared" ref="E36" si="34">D36/B35</f>
        <v>-4.3366420921513833E-2</v>
      </c>
      <c r="F36" s="30">
        <f>Rural_Mensal!G539</f>
        <v>240493.997</v>
      </c>
      <c r="G36" s="70">
        <f t="shared" ref="G36" si="35">F36/F35-1</f>
        <v>2.6919086291115946E-2</v>
      </c>
      <c r="H36" s="43">
        <f>Rural_Mensal!D539</f>
        <v>-741.41299999999319</v>
      </c>
      <c r="I36" s="150">
        <f t="shared" ref="I36" si="36">H36/F35</f>
        <v>-3.1658634727766122E-3</v>
      </c>
      <c r="J36" s="30">
        <f t="shared" ref="J36" si="37">SUM(B36,F36)</f>
        <v>1030603.01</v>
      </c>
      <c r="K36" s="31">
        <f t="shared" ref="K36" si="38">J36/J35-1</f>
        <v>-4.8519322973836765E-3</v>
      </c>
      <c r="L36" s="43">
        <f>SUM(D36,H36)</f>
        <v>-35496.90999999988</v>
      </c>
      <c r="M36" s="150">
        <f t="shared" ref="M36" si="39">L36/J35</f>
        <v>-3.4275740564655988E-2</v>
      </c>
    </row>
    <row r="37" spans="1:13" x14ac:dyDescent="0.25">
      <c r="A37" s="95" t="s">
        <v>125</v>
      </c>
      <c r="B37" s="96">
        <f>SBPE_Mensal!G552</f>
        <v>763815.06599999999</v>
      </c>
      <c r="C37" s="97">
        <f t="shared" ref="C37" si="40">B37/B36-1</f>
        <v>-3.3278885023932836E-2</v>
      </c>
      <c r="D37" s="98">
        <f>SBPE_Mensal!D552</f>
        <v>-80944.485000000015</v>
      </c>
      <c r="E37" s="151">
        <f t="shared" ref="E37" si="41">D37/B36</f>
        <v>-0.10244723660683011</v>
      </c>
      <c r="F37" s="96">
        <f>Rural_Mensal!G552</f>
        <v>235128.245</v>
      </c>
      <c r="G37" s="97">
        <f t="shared" ref="G37" si="42">F37/F36-1</f>
        <v>-2.2311376029897412E-2</v>
      </c>
      <c r="H37" s="98">
        <f>Rural_Mensal!D552</f>
        <v>-22292.690999999992</v>
      </c>
      <c r="I37" s="151">
        <f t="shared" ref="I37" si="43">H37/F36</f>
        <v>-9.2695415594926431E-2</v>
      </c>
      <c r="J37" s="96">
        <f t="shared" ref="J37" si="44">SUM(B37,F37)</f>
        <v>998943.31099999999</v>
      </c>
      <c r="K37" s="101">
        <f t="shared" ref="K37" si="45">J37/J36-1</f>
        <v>-3.0719587166740392E-2</v>
      </c>
      <c r="L37" s="98">
        <f>SUM(D37,H37)</f>
        <v>-103237.17600000001</v>
      </c>
      <c r="M37" s="151">
        <f t="shared" ref="M37" si="46">L37/J36</f>
        <v>-0.10017162282497119</v>
      </c>
    </row>
    <row r="38" spans="1:13" x14ac:dyDescent="0.25">
      <c r="A38" s="29" t="s">
        <v>126</v>
      </c>
      <c r="B38" s="30">
        <f>SBPE_Mensal!G565</f>
        <v>735745.73899999994</v>
      </c>
      <c r="C38" s="70">
        <f>B38/B37-1</f>
        <v>-3.6748852241152319E-2</v>
      </c>
      <c r="D38" s="43">
        <f>SBPE_Mensal!D565</f>
        <v>-66728.672999999952</v>
      </c>
      <c r="E38" s="150">
        <f>D38/B37</f>
        <v>-8.7362341972971699E-2</v>
      </c>
      <c r="F38" s="30">
        <f>Rural_Mensal!G565</f>
        <v>233380.318</v>
      </c>
      <c r="G38" s="70">
        <f t="shared" ref="G38" si="47">F38/F37-1</f>
        <v>-7.433930364257102E-3</v>
      </c>
      <c r="H38" s="43">
        <f>Rural_Mensal!D565</f>
        <v>-13564.462</v>
      </c>
      <c r="I38" s="150">
        <f t="shared" ref="I38" si="48">H38/F37</f>
        <v>-5.7689632311081977E-2</v>
      </c>
      <c r="J38" s="30">
        <f>SUM(B38,F38)</f>
        <v>969126.05699999991</v>
      </c>
      <c r="K38" s="31">
        <f t="shared" ref="K38" si="49">J38/J37-1</f>
        <v>-2.9848794893227004E-2</v>
      </c>
      <c r="L38" s="43">
        <f>SUM(D38,H38)</f>
        <v>-80293.134999999951</v>
      </c>
      <c r="M38" s="150">
        <f>L38/J37</f>
        <v>-8.0378069622010759E-2</v>
      </c>
    </row>
    <row r="39" spans="1:13" x14ac:dyDescent="0.25">
      <c r="A39" s="95"/>
      <c r="B39" s="96"/>
      <c r="C39" s="97"/>
      <c r="D39" s="98"/>
      <c r="E39" s="99"/>
      <c r="F39" s="96"/>
      <c r="G39" s="97"/>
      <c r="H39" s="98"/>
      <c r="I39" s="100"/>
      <c r="J39" s="96"/>
      <c r="K39" s="101"/>
      <c r="L39" s="98"/>
      <c r="M39" s="99"/>
    </row>
    <row r="40" spans="1:13" x14ac:dyDescent="0.25">
      <c r="A40" s="52" t="s">
        <v>127</v>
      </c>
      <c r="B40" s="44"/>
      <c r="C40" s="45"/>
      <c r="D40" s="44"/>
      <c r="E40" s="45"/>
      <c r="F40" s="44"/>
      <c r="G40" s="45"/>
      <c r="H40" s="44"/>
      <c r="I40" s="45"/>
      <c r="J40" s="44"/>
      <c r="K40" s="45"/>
      <c r="L40" s="44"/>
      <c r="M40" s="45"/>
    </row>
    <row r="41" spans="1:13" x14ac:dyDescent="0.25">
      <c r="A41" s="52" t="s">
        <v>134</v>
      </c>
      <c r="D41" s="7"/>
      <c r="F41" s="7"/>
      <c r="H41" s="7"/>
      <c r="J41" s="7"/>
      <c r="L41" s="7"/>
    </row>
    <row r="42" spans="1:13" x14ac:dyDescent="0.25">
      <c r="A42" s="46" t="s">
        <v>128</v>
      </c>
    </row>
    <row r="43" spans="1:13" x14ac:dyDescent="0.25">
      <c r="A43" s="46" t="s">
        <v>129</v>
      </c>
    </row>
    <row r="44" spans="1:13" x14ac:dyDescent="0.25">
      <c r="A44" s="46" t="s">
        <v>130</v>
      </c>
    </row>
    <row r="45" spans="1:13" x14ac:dyDescent="0.25">
      <c r="A45" s="46" t="s">
        <v>131</v>
      </c>
    </row>
    <row r="46" spans="1:13" x14ac:dyDescent="0.25">
      <c r="A46" s="46" t="s">
        <v>132</v>
      </c>
    </row>
    <row r="47" spans="1:13" x14ac:dyDescent="0.25">
      <c r="A47" s="7" t="s">
        <v>133</v>
      </c>
    </row>
    <row r="62" spans="1:1" x14ac:dyDescent="0.25">
      <c r="A62" s="49"/>
    </row>
    <row r="81" spans="3:3" x14ac:dyDescent="0.25">
      <c r="C81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2" ma:contentTypeDescription="Crie um novo documento." ma:contentTypeScope="" ma:versionID="fd401f808262e821870b2352a47cab39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8ae50049bc51300acda6912ebb4c1344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</documentManagement>
</p:properties>
</file>

<file path=customXml/itemProps1.xml><?xml version="1.0" encoding="utf-8"?>
<ds:datastoreItem xmlns:ds="http://schemas.openxmlformats.org/officeDocument/2006/customXml" ds:itemID="{96509E89-FE0E-431C-BA45-7694EF3AB1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E55704-4500-403A-AF1F-51568642B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283142-55CA-4180-9AA8-15EA97B26825}">
  <ds:schemaRefs>
    <ds:schemaRef ds:uri="http://schemas.microsoft.com/office/infopath/2007/PartnerControls"/>
    <ds:schemaRef ds:uri="ce50f6f7-abf6-49b9-b4c9-2ea63774b93b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f4bcf983-2136-4c42-9108-b73acbb23e9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Manager/>
  <Company>Abecip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Priscila Zioli - Abecip</cp:lastModifiedBy>
  <cp:revision/>
  <cp:lastPrinted>2023-08-07T14:34:46Z</cp:lastPrinted>
  <dcterms:created xsi:type="dcterms:W3CDTF">2001-08-07T17:49:36Z</dcterms:created>
  <dcterms:modified xsi:type="dcterms:W3CDTF">2023-09-12T18:29:00Z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1392200</vt:r8>
  </property>
  <property fmtid="{D5CDD505-2E9C-101B-9397-08002B2CF9AE}" pid="4" name="MediaServiceImageTags">
    <vt:lpwstr/>
  </property>
</Properties>
</file>