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nteligência de Mercado\DADOS ECONÔMICOS\Poupança\Saldo - captação - faixas\"/>
    </mc:Choice>
  </mc:AlternateContent>
  <xr:revisionPtr revIDLastSave="0" documentId="13_ncr:1_{2B38CACD-574D-4B1A-B18C-D1F205450007}" xr6:coauthVersionLast="45" xr6:coauthVersionMax="45" xr10:uidLastSave="{00000000-0000-0000-0000-000000000000}"/>
  <bookViews>
    <workbookView xWindow="-120" yWindow="-120" windowWidth="19440" windowHeight="11640" tabRatio="697" xr2:uid="{00000000-000D-0000-FFFF-FFFF00000000}"/>
  </bookViews>
  <sheets>
    <sheet name="SBPE" sheetId="11" r:id="rId1"/>
    <sheet name="SBPE_Mensal" sheetId="1" r:id="rId2"/>
    <sheet name="Rural_Mensal" sheetId="7" r:id="rId3"/>
    <sheet name="Total_Anual" sheetId="10" r:id="rId4"/>
  </sheets>
  <definedNames>
    <definedName name="_xlnm.Print_Area" localSheetId="2">Rural_Mensal!$A$1:$H$532</definedName>
    <definedName name="_xlnm.Print_Area" localSheetId="0">SBPE!$A$1:$P$80</definedName>
    <definedName name="_xlnm.Print_Area" localSheetId="1">SBPE_Mensal!$A$1:$H$531</definedName>
    <definedName name="_xlnm.Print_Area" localSheetId="3">Total_Anual!$A$1:$M$58</definedName>
    <definedName name="_xlnm.Print_Titles" localSheetId="2">Rural_Mensal!$1:$7</definedName>
    <definedName name="_xlnm.Print_Titles" localSheetId="1">SBPE_Mensal!$1:$6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1" l="1"/>
  <c r="E526" i="1"/>
  <c r="E525" i="1" l="1"/>
  <c r="E524" i="1"/>
  <c r="E523" i="1"/>
  <c r="E522" i="1"/>
  <c r="G526" i="7" l="1"/>
  <c r="F35" i="10" s="1"/>
  <c r="G526" i="1"/>
  <c r="D516" i="1"/>
  <c r="E516" i="1"/>
  <c r="D517" i="1"/>
  <c r="E517" i="1" s="1"/>
  <c r="D518" i="1"/>
  <c r="E518" i="1" s="1"/>
  <c r="D519" i="1"/>
  <c r="E519" i="1" s="1"/>
  <c r="D520" i="1"/>
  <c r="E520" i="1" s="1"/>
  <c r="D521" i="1"/>
  <c r="E521" i="1" s="1"/>
  <c r="D522" i="1"/>
  <c r="D523" i="1"/>
  <c r="D524" i="1"/>
  <c r="D525" i="1"/>
  <c r="D503" i="1"/>
  <c r="E503" i="1" s="1"/>
  <c r="D504" i="1"/>
  <c r="E504" i="1"/>
  <c r="D505" i="1"/>
  <c r="E505" i="1"/>
  <c r="D506" i="1"/>
  <c r="E506" i="1" s="1"/>
  <c r="D507" i="1"/>
  <c r="E507" i="1" s="1"/>
  <c r="D508" i="1"/>
  <c r="E508" i="1"/>
  <c r="D509" i="1"/>
  <c r="E509" i="1" s="1"/>
  <c r="D510" i="1"/>
  <c r="E510" i="1" s="1"/>
  <c r="D511" i="1"/>
  <c r="E511" i="1" s="1"/>
  <c r="D512" i="1"/>
  <c r="E512" i="1" s="1"/>
  <c r="D490" i="7"/>
  <c r="E490" i="7" s="1"/>
  <c r="D491" i="7"/>
  <c r="E491" i="7" s="1"/>
  <c r="D492" i="7"/>
  <c r="E492" i="7" s="1"/>
  <c r="D493" i="7"/>
  <c r="E493" i="7"/>
  <c r="D494" i="7"/>
  <c r="E494" i="7"/>
  <c r="D495" i="7"/>
  <c r="E495" i="7" s="1"/>
  <c r="D496" i="7"/>
  <c r="E496" i="7"/>
  <c r="D497" i="7"/>
  <c r="E497" i="7" s="1"/>
  <c r="D498" i="7"/>
  <c r="E498" i="7"/>
  <c r="D499" i="7"/>
  <c r="E499" i="7"/>
  <c r="D503" i="7"/>
  <c r="E503" i="7"/>
  <c r="D504" i="7"/>
  <c r="E504" i="7" s="1"/>
  <c r="D505" i="7"/>
  <c r="E505" i="7"/>
  <c r="D506" i="7"/>
  <c r="E506" i="7" s="1"/>
  <c r="D507" i="7"/>
  <c r="E507" i="7"/>
  <c r="D508" i="7"/>
  <c r="E508" i="7"/>
  <c r="D509" i="7"/>
  <c r="E509" i="7"/>
  <c r="D510" i="7"/>
  <c r="E510" i="7" s="1"/>
  <c r="D511" i="7"/>
  <c r="E511" i="7"/>
  <c r="D512" i="7"/>
  <c r="E512" i="7" s="1"/>
  <c r="E522" i="7"/>
  <c r="E523" i="7"/>
  <c r="E524" i="7"/>
  <c r="E525" i="7"/>
  <c r="D515" i="7"/>
  <c r="E515" i="7" s="1"/>
  <c r="D516" i="7"/>
  <c r="E516" i="7" s="1"/>
  <c r="D517" i="7"/>
  <c r="E517" i="7" s="1"/>
  <c r="D518" i="7"/>
  <c r="E518" i="7" s="1"/>
  <c r="D519" i="7"/>
  <c r="E519" i="7" s="1"/>
  <c r="D520" i="7"/>
  <c r="E520" i="7" s="1"/>
  <c r="D521" i="7"/>
  <c r="E521" i="7" s="1"/>
  <c r="D522" i="7"/>
  <c r="D523" i="7"/>
  <c r="D524" i="7"/>
  <c r="D525" i="7"/>
  <c r="F526" i="7"/>
  <c r="C526" i="7"/>
  <c r="B526" i="7"/>
  <c r="D514" i="7"/>
  <c r="F526" i="1"/>
  <c r="C526" i="1"/>
  <c r="B526" i="1"/>
  <c r="D515" i="1"/>
  <c r="E515" i="1" s="1"/>
  <c r="D514" i="1"/>
  <c r="B35" i="10" l="1"/>
  <c r="J35" i="10" s="1"/>
  <c r="D526" i="7"/>
  <c r="H35" i="10" s="1"/>
  <c r="D526" i="1"/>
  <c r="D35" i="10" s="1"/>
  <c r="C78" i="10"/>
  <c r="L35" i="10" l="1"/>
  <c r="B513" i="1"/>
  <c r="F513" i="1"/>
  <c r="G513" i="1"/>
  <c r="E514" i="1" l="1"/>
  <c r="O4" i="11" l="1"/>
  <c r="O6" i="11" s="1"/>
  <c r="G513" i="7"/>
  <c r="C513" i="7"/>
  <c r="B513" i="7"/>
  <c r="D502" i="7"/>
  <c r="D501" i="7"/>
  <c r="G500" i="1"/>
  <c r="D502" i="1"/>
  <c r="E502" i="1" s="1"/>
  <c r="D501" i="1"/>
  <c r="C513" i="1"/>
  <c r="F34" i="10" l="1"/>
  <c r="E514" i="7"/>
  <c r="E526" i="7"/>
  <c r="B34" i="10"/>
  <c r="F513" i="7"/>
  <c r="D513" i="7"/>
  <c r="E502" i="7"/>
  <c r="D513" i="1"/>
  <c r="D34" i="10" s="1"/>
  <c r="E498" i="1"/>
  <c r="G35" i="10" l="1"/>
  <c r="I35" i="10"/>
  <c r="J34" i="10"/>
  <c r="C35" i="10"/>
  <c r="E35" i="10"/>
  <c r="H34" i="10"/>
  <c r="L34" i="10" s="1"/>
  <c r="K35" i="10" l="1"/>
  <c r="M35" i="10"/>
  <c r="D488" i="1"/>
  <c r="D489" i="1"/>
  <c r="D490" i="1"/>
  <c r="D491" i="1"/>
  <c r="D492" i="1"/>
  <c r="D493" i="1"/>
  <c r="D494" i="1"/>
  <c r="F494" i="1" s="1"/>
  <c r="G500" i="7" l="1"/>
  <c r="C500" i="7"/>
  <c r="B500" i="7"/>
  <c r="F493" i="7"/>
  <c r="F491" i="7"/>
  <c r="D489" i="7"/>
  <c r="F489" i="7" s="1"/>
  <c r="D488" i="7"/>
  <c r="E501" i="1"/>
  <c r="C500" i="1"/>
  <c r="B500" i="1"/>
  <c r="D499" i="1"/>
  <c r="E499" i="1" s="1"/>
  <c r="D497" i="1"/>
  <c r="D496" i="1"/>
  <c r="D495" i="1"/>
  <c r="F495" i="1" s="1"/>
  <c r="E492" i="1"/>
  <c r="E491" i="1"/>
  <c r="F490" i="1"/>
  <c r="F489" i="1"/>
  <c r="F33" i="10" l="1"/>
  <c r="I34" i="10" s="1"/>
  <c r="E501" i="7"/>
  <c r="E513" i="7"/>
  <c r="G34" i="10"/>
  <c r="E495" i="1"/>
  <c r="B33" i="10"/>
  <c r="E513" i="1"/>
  <c r="E496" i="1"/>
  <c r="F492" i="7"/>
  <c r="E489" i="7"/>
  <c r="F493" i="1"/>
  <c r="E493" i="1"/>
  <c r="F491" i="1"/>
  <c r="F490" i="7"/>
  <c r="D500" i="7"/>
  <c r="H33" i="10" s="1"/>
  <c r="F492" i="1"/>
  <c r="D500" i="1"/>
  <c r="D33" i="10" s="1"/>
  <c r="E494" i="1"/>
  <c r="E489" i="1"/>
  <c r="E497" i="1"/>
  <c r="E490" i="1"/>
  <c r="G487" i="7"/>
  <c r="C487" i="7"/>
  <c r="B487" i="7"/>
  <c r="D486" i="7"/>
  <c r="F486" i="7" s="1"/>
  <c r="D485" i="7"/>
  <c r="F485" i="7" s="1"/>
  <c r="D484" i="7"/>
  <c r="F484" i="7" s="1"/>
  <c r="D483" i="7"/>
  <c r="E483" i="7" s="1"/>
  <c r="D482" i="7"/>
  <c r="E482" i="7" s="1"/>
  <c r="D481" i="7"/>
  <c r="E481" i="7" s="1"/>
  <c r="D480" i="7"/>
  <c r="F480" i="7" s="1"/>
  <c r="D479" i="7"/>
  <c r="F479" i="7" s="1"/>
  <c r="D478" i="7"/>
  <c r="F478" i="7" s="1"/>
  <c r="D477" i="7"/>
  <c r="E477" i="7" s="1"/>
  <c r="D476" i="7"/>
  <c r="F476" i="7" s="1"/>
  <c r="D475" i="7"/>
  <c r="G487" i="1"/>
  <c r="B32" i="10" s="1"/>
  <c r="C487" i="1"/>
  <c r="B487" i="1"/>
  <c r="D486" i="1"/>
  <c r="F486" i="1" s="1"/>
  <c r="D485" i="1"/>
  <c r="F485" i="1" s="1"/>
  <c r="D484" i="1"/>
  <c r="F484" i="1" s="1"/>
  <c r="D483" i="1"/>
  <c r="F483" i="1" s="1"/>
  <c r="D482" i="1"/>
  <c r="E482" i="1" s="1"/>
  <c r="D481" i="1"/>
  <c r="E481" i="1" s="1"/>
  <c r="D480" i="1"/>
  <c r="E480" i="1" s="1"/>
  <c r="D479" i="1"/>
  <c r="D478" i="1"/>
  <c r="F478" i="1" s="1"/>
  <c r="D477" i="1"/>
  <c r="F477" i="1" s="1"/>
  <c r="D476" i="1"/>
  <c r="D475" i="1"/>
  <c r="C34" i="10" l="1"/>
  <c r="E34" i="10"/>
  <c r="J33" i="10"/>
  <c r="L33" i="10"/>
  <c r="F481" i="7"/>
  <c r="E500" i="7"/>
  <c r="F32" i="10"/>
  <c r="E488" i="7"/>
  <c r="F488" i="7"/>
  <c r="F500" i="7" s="1"/>
  <c r="E488" i="1"/>
  <c r="F488" i="1"/>
  <c r="E500" i="1"/>
  <c r="F482" i="7"/>
  <c r="F479" i="1"/>
  <c r="D487" i="1"/>
  <c r="D32" i="10" s="1"/>
  <c r="E478" i="7"/>
  <c r="F477" i="7"/>
  <c r="D487" i="7"/>
  <c r="H32" i="10" s="1"/>
  <c r="E485" i="7"/>
  <c r="E486" i="7"/>
  <c r="F483" i="7"/>
  <c r="E476" i="7"/>
  <c r="E484" i="7"/>
  <c r="E479" i="7"/>
  <c r="E480" i="7"/>
  <c r="F481" i="1"/>
  <c r="F482" i="1"/>
  <c r="E483" i="1"/>
  <c r="F480" i="1"/>
  <c r="E478" i="1"/>
  <c r="E486" i="1"/>
  <c r="E484" i="1"/>
  <c r="F476" i="1"/>
  <c r="E479" i="1"/>
  <c r="E477" i="1"/>
  <c r="E485" i="1"/>
  <c r="E476" i="1"/>
  <c r="G474" i="7"/>
  <c r="K34" i="10" l="1"/>
  <c r="M34" i="10"/>
  <c r="G33" i="10"/>
  <c r="I33" i="10"/>
  <c r="E33" i="10"/>
  <c r="C33" i="10"/>
  <c r="F500" i="1"/>
  <c r="J32" i="10"/>
  <c r="E487" i="7"/>
  <c r="L32" i="10"/>
  <c r="E475" i="7"/>
  <c r="F475" i="7"/>
  <c r="F487" i="7" s="1"/>
  <c r="F31" i="10"/>
  <c r="G32" i="10" s="1"/>
  <c r="C474" i="7"/>
  <c r="B474" i="7"/>
  <c r="D473" i="7"/>
  <c r="E473" i="7" s="1"/>
  <c r="D472" i="7"/>
  <c r="F472" i="7" s="1"/>
  <c r="D471" i="7"/>
  <c r="F471" i="7" s="1"/>
  <c r="D470" i="7"/>
  <c r="E470" i="7" s="1"/>
  <c r="D469" i="7"/>
  <c r="E469" i="7" s="1"/>
  <c r="D468" i="7"/>
  <c r="F468" i="7" s="1"/>
  <c r="D467" i="7"/>
  <c r="F467" i="7" s="1"/>
  <c r="D466" i="7"/>
  <c r="E466" i="7" s="1"/>
  <c r="D465" i="7"/>
  <c r="E465" i="7" s="1"/>
  <c r="D464" i="7"/>
  <c r="E464" i="7" s="1"/>
  <c r="D463" i="7"/>
  <c r="F463" i="7" s="1"/>
  <c r="D462" i="7"/>
  <c r="G474" i="1"/>
  <c r="E487" i="1" s="1"/>
  <c r="C474" i="1"/>
  <c r="B474" i="1"/>
  <c r="D473" i="1"/>
  <c r="F473" i="1" s="1"/>
  <c r="D472" i="1"/>
  <c r="E472" i="1" s="1"/>
  <c r="D471" i="1"/>
  <c r="E471" i="1" s="1"/>
  <c r="D470" i="1"/>
  <c r="F470" i="1" s="1"/>
  <c r="D469" i="1"/>
  <c r="F469" i="1" s="1"/>
  <c r="D468" i="1"/>
  <c r="E468" i="1" s="1"/>
  <c r="D467" i="1"/>
  <c r="E467" i="1" s="1"/>
  <c r="D466" i="1"/>
  <c r="F466" i="1" s="1"/>
  <c r="D465" i="1"/>
  <c r="F465" i="1" s="1"/>
  <c r="D464" i="1"/>
  <c r="F464" i="1" s="1"/>
  <c r="D463" i="1"/>
  <c r="E463" i="1" s="1"/>
  <c r="D462" i="1"/>
  <c r="D454" i="1"/>
  <c r="F454" i="1" s="1"/>
  <c r="D455" i="1"/>
  <c r="F455" i="1" s="1"/>
  <c r="D456" i="1"/>
  <c r="E456" i="1" s="1"/>
  <c r="D457" i="1"/>
  <c r="D458" i="1"/>
  <c r="F458" i="1" s="1"/>
  <c r="D459" i="1"/>
  <c r="F459" i="1" s="1"/>
  <c r="D460" i="1"/>
  <c r="F460" i="1" s="1"/>
  <c r="D452" i="7"/>
  <c r="E452" i="7" s="1"/>
  <c r="G461" i="7"/>
  <c r="C461" i="7"/>
  <c r="B461" i="7"/>
  <c r="D460" i="7"/>
  <c r="D459" i="7"/>
  <c r="E459" i="7" s="1"/>
  <c r="D458" i="7"/>
  <c r="F458" i="7" s="1"/>
  <c r="D457" i="7"/>
  <c r="D456" i="7"/>
  <c r="F456" i="7" s="1"/>
  <c r="D455" i="7"/>
  <c r="D454" i="7"/>
  <c r="F454" i="7" s="1"/>
  <c r="D453" i="7"/>
  <c r="F453" i="7" s="1"/>
  <c r="F452" i="7"/>
  <c r="D451" i="7"/>
  <c r="F451" i="7" s="1"/>
  <c r="D450" i="7"/>
  <c r="E450" i="7" s="1"/>
  <c r="D449" i="7"/>
  <c r="G461" i="1"/>
  <c r="C461" i="1"/>
  <c r="B461" i="1"/>
  <c r="D453" i="1"/>
  <c r="F453" i="1" s="1"/>
  <c r="D452" i="1"/>
  <c r="F452" i="1" s="1"/>
  <c r="D451" i="1"/>
  <c r="F451" i="1" s="1"/>
  <c r="D450" i="1"/>
  <c r="D449" i="1"/>
  <c r="D447" i="7"/>
  <c r="F447" i="7" s="1"/>
  <c r="D446" i="7"/>
  <c r="F446" i="7" s="1"/>
  <c r="D444" i="7"/>
  <c r="F444" i="7" s="1"/>
  <c r="D445" i="7"/>
  <c r="E445" i="7" s="1"/>
  <c r="D443" i="7"/>
  <c r="E443" i="7" s="1"/>
  <c r="D442" i="7"/>
  <c r="F442" i="7" s="1"/>
  <c r="D441" i="7"/>
  <c r="D434" i="7"/>
  <c r="F434" i="7" s="1"/>
  <c r="G448" i="7"/>
  <c r="F29" i="10" s="1"/>
  <c r="C448" i="7"/>
  <c r="B448" i="7"/>
  <c r="D440" i="7"/>
  <c r="F440" i="7" s="1"/>
  <c r="D439" i="7"/>
  <c r="F439" i="7" s="1"/>
  <c r="D438" i="7"/>
  <c r="E438" i="7" s="1"/>
  <c r="D437" i="7"/>
  <c r="F437" i="7" s="1"/>
  <c r="D436" i="7"/>
  <c r="E436" i="7" s="1"/>
  <c r="G448" i="1"/>
  <c r="C448" i="1"/>
  <c r="B448" i="1"/>
  <c r="D447" i="1"/>
  <c r="E447" i="1" s="1"/>
  <c r="D446" i="1"/>
  <c r="F446" i="1" s="1"/>
  <c r="D445" i="1"/>
  <c r="E445" i="1" s="1"/>
  <c r="D444" i="1"/>
  <c r="E444" i="1" s="1"/>
  <c r="D443" i="1"/>
  <c r="F443" i="1" s="1"/>
  <c r="D442" i="1"/>
  <c r="E442" i="1" s="1"/>
  <c r="D441" i="1"/>
  <c r="E441" i="1" s="1"/>
  <c r="D440" i="1"/>
  <c r="E440" i="1" s="1"/>
  <c r="D439" i="1"/>
  <c r="E439" i="1" s="1"/>
  <c r="D438" i="1"/>
  <c r="F438" i="1" s="1"/>
  <c r="D437" i="1"/>
  <c r="E437" i="1" s="1"/>
  <c r="D436" i="1"/>
  <c r="D434" i="1"/>
  <c r="E434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11" i="1"/>
  <c r="R111" i="1" s="1"/>
  <c r="R99" i="1"/>
  <c r="R100" i="1"/>
  <c r="R101" i="1"/>
  <c r="R102" i="1"/>
  <c r="R103" i="1"/>
  <c r="R104" i="1"/>
  <c r="R105" i="1"/>
  <c r="R106" i="1"/>
  <c r="R107" i="1"/>
  <c r="R108" i="1"/>
  <c r="R109" i="1"/>
  <c r="R98" i="1"/>
  <c r="R86" i="1"/>
  <c r="R87" i="1"/>
  <c r="R88" i="1"/>
  <c r="R89" i="1"/>
  <c r="R90" i="1"/>
  <c r="R91" i="1"/>
  <c r="R92" i="1"/>
  <c r="R93" i="1"/>
  <c r="R94" i="1"/>
  <c r="R95" i="1"/>
  <c r="R96" i="1"/>
  <c r="R85" i="1"/>
  <c r="D432" i="7"/>
  <c r="E432" i="7" s="1"/>
  <c r="D433" i="7"/>
  <c r="E433" i="7" s="1"/>
  <c r="D433" i="1"/>
  <c r="E433" i="1" s="1"/>
  <c r="D432" i="1"/>
  <c r="E432" i="1" s="1"/>
  <c r="D431" i="7"/>
  <c r="E431" i="7" s="1"/>
  <c r="D430" i="7"/>
  <c r="F430" i="7" s="1"/>
  <c r="D431" i="1"/>
  <c r="E431" i="1" s="1"/>
  <c r="D430" i="1"/>
  <c r="E430" i="1" s="1"/>
  <c r="D429" i="7"/>
  <c r="E429" i="7" s="1"/>
  <c r="D429" i="1"/>
  <c r="F429" i="1" s="1"/>
  <c r="D428" i="7"/>
  <c r="E428" i="7" s="1"/>
  <c r="D428" i="1"/>
  <c r="E428" i="1" s="1"/>
  <c r="D427" i="7"/>
  <c r="F427" i="7" s="1"/>
  <c r="D427" i="1"/>
  <c r="F427" i="1" s="1"/>
  <c r="D426" i="7"/>
  <c r="F426" i="7" s="1"/>
  <c r="D426" i="1"/>
  <c r="F426" i="1" s="1"/>
  <c r="D425" i="7"/>
  <c r="E425" i="7" s="1"/>
  <c r="D425" i="1"/>
  <c r="F425" i="1" s="1"/>
  <c r="D424" i="7"/>
  <c r="F424" i="7" s="1"/>
  <c r="D424" i="1"/>
  <c r="F424" i="1" s="1"/>
  <c r="G435" i="7"/>
  <c r="F28" i="10" s="1"/>
  <c r="C435" i="7"/>
  <c r="B435" i="7"/>
  <c r="D423" i="7"/>
  <c r="G435" i="1"/>
  <c r="C435" i="1"/>
  <c r="B435" i="1"/>
  <c r="D423" i="1"/>
  <c r="D411" i="1"/>
  <c r="E411" i="1" s="1"/>
  <c r="D412" i="1"/>
  <c r="E412" i="1" s="1"/>
  <c r="D413" i="1"/>
  <c r="F413" i="1" s="1"/>
  <c r="D414" i="1"/>
  <c r="E414" i="1" s="1"/>
  <c r="D415" i="1"/>
  <c r="F415" i="1" s="1"/>
  <c r="D416" i="1"/>
  <c r="D417" i="1"/>
  <c r="F417" i="1" s="1"/>
  <c r="D418" i="1"/>
  <c r="F418" i="1" s="1"/>
  <c r="D419" i="1"/>
  <c r="E419" i="1" s="1"/>
  <c r="D420" i="1"/>
  <c r="F420" i="1" s="1"/>
  <c r="D421" i="1"/>
  <c r="E421" i="1" s="1"/>
  <c r="D421" i="7"/>
  <c r="E421" i="7" s="1"/>
  <c r="D420" i="7"/>
  <c r="F420" i="7" s="1"/>
  <c r="D419" i="7"/>
  <c r="E419" i="7" s="1"/>
  <c r="D417" i="7"/>
  <c r="F417" i="7" s="1"/>
  <c r="D418" i="7"/>
  <c r="E418" i="7" s="1"/>
  <c r="D416" i="7"/>
  <c r="D415" i="7"/>
  <c r="F415" i="7" s="1"/>
  <c r="D414" i="7"/>
  <c r="F414" i="7" s="1"/>
  <c r="D412" i="7"/>
  <c r="F412" i="7" s="1"/>
  <c r="D413" i="7"/>
  <c r="F413" i="7" s="1"/>
  <c r="G422" i="7"/>
  <c r="F27" i="10" s="1"/>
  <c r="C422" i="7"/>
  <c r="B422" i="7"/>
  <c r="G422" i="1"/>
  <c r="D411" i="7"/>
  <c r="E411" i="7" s="1"/>
  <c r="D410" i="7"/>
  <c r="E410" i="7" s="1"/>
  <c r="C422" i="1"/>
  <c r="B422" i="1"/>
  <c r="D410" i="1"/>
  <c r="F410" i="1" s="1"/>
  <c r="G396" i="7"/>
  <c r="F25" i="10" s="1"/>
  <c r="G409" i="7"/>
  <c r="F26" i="10" s="1"/>
  <c r="D408" i="7"/>
  <c r="F408" i="7" s="1"/>
  <c r="D408" i="1"/>
  <c r="F408" i="1" s="1"/>
  <c r="D407" i="7"/>
  <c r="F407" i="7" s="1"/>
  <c r="D407" i="1"/>
  <c r="F407" i="1" s="1"/>
  <c r="D406" i="1"/>
  <c r="E406" i="1" s="1"/>
  <c r="D405" i="1"/>
  <c r="F405" i="1" s="1"/>
  <c r="D404" i="1"/>
  <c r="E404" i="1" s="1"/>
  <c r="D403" i="1"/>
  <c r="F403" i="1" s="1"/>
  <c r="D402" i="1"/>
  <c r="F402" i="1" s="1"/>
  <c r="D401" i="1"/>
  <c r="E401" i="1" s="1"/>
  <c r="D406" i="7"/>
  <c r="E406" i="7" s="1"/>
  <c r="D405" i="7"/>
  <c r="E405" i="7" s="1"/>
  <c r="D404" i="7"/>
  <c r="F404" i="7" s="1"/>
  <c r="D403" i="7"/>
  <c r="F403" i="7" s="1"/>
  <c r="D402" i="7"/>
  <c r="E402" i="7" s="1"/>
  <c r="D401" i="7"/>
  <c r="E401" i="7" s="1"/>
  <c r="D400" i="7"/>
  <c r="E400" i="7" s="1"/>
  <c r="D399" i="7"/>
  <c r="F399" i="7" s="1"/>
  <c r="D398" i="7"/>
  <c r="E398" i="7" s="1"/>
  <c r="D397" i="7"/>
  <c r="F397" i="7" s="1"/>
  <c r="D395" i="7"/>
  <c r="E395" i="7" s="1"/>
  <c r="D394" i="7"/>
  <c r="E394" i="7" s="1"/>
  <c r="C409" i="7"/>
  <c r="B409" i="7"/>
  <c r="D400" i="1"/>
  <c r="E400" i="1" s="1"/>
  <c r="D399" i="1"/>
  <c r="E399" i="1" s="1"/>
  <c r="D397" i="1"/>
  <c r="E397" i="1" s="1"/>
  <c r="G409" i="1"/>
  <c r="B26" i="10" s="1"/>
  <c r="D398" i="1"/>
  <c r="E398" i="1" s="1"/>
  <c r="E389" i="1"/>
  <c r="F389" i="1"/>
  <c r="E390" i="1"/>
  <c r="F390" i="1"/>
  <c r="E391" i="1"/>
  <c r="F391" i="1"/>
  <c r="E392" i="1"/>
  <c r="F392" i="1"/>
  <c r="E393" i="1"/>
  <c r="F393" i="1"/>
  <c r="F394" i="1"/>
  <c r="E395" i="1"/>
  <c r="F395" i="1"/>
  <c r="C409" i="1"/>
  <c r="B409" i="1"/>
  <c r="D393" i="7"/>
  <c r="F393" i="7" s="1"/>
  <c r="D392" i="7"/>
  <c r="F392" i="7" s="1"/>
  <c r="F386" i="7"/>
  <c r="F387" i="7"/>
  <c r="F388" i="7"/>
  <c r="F389" i="7"/>
  <c r="F390" i="7"/>
  <c r="F391" i="7"/>
  <c r="E386" i="7"/>
  <c r="E387" i="7"/>
  <c r="E388" i="7"/>
  <c r="E389" i="7"/>
  <c r="E390" i="7"/>
  <c r="E391" i="7"/>
  <c r="G396" i="1"/>
  <c r="B25" i="10" s="1"/>
  <c r="E388" i="1"/>
  <c r="F388" i="1"/>
  <c r="F386" i="1"/>
  <c r="F387" i="1"/>
  <c r="E385" i="1"/>
  <c r="E384" i="1"/>
  <c r="E386" i="1"/>
  <c r="F385" i="7"/>
  <c r="E385" i="7"/>
  <c r="F385" i="1"/>
  <c r="F384" i="7"/>
  <c r="E384" i="7"/>
  <c r="C396" i="7"/>
  <c r="B396" i="7"/>
  <c r="C396" i="1"/>
  <c r="B396" i="1"/>
  <c r="F384" i="1"/>
  <c r="G383" i="7"/>
  <c r="F24" i="10" s="1"/>
  <c r="F382" i="7"/>
  <c r="E382" i="7"/>
  <c r="F381" i="7"/>
  <c r="E381" i="7"/>
  <c r="I52" i="11"/>
  <c r="G383" i="1"/>
  <c r="B24" i="10" s="1"/>
  <c r="F381" i="1"/>
  <c r="E377" i="7"/>
  <c r="E378" i="7"/>
  <c r="E379" i="7"/>
  <c r="E380" i="7"/>
  <c r="B370" i="1"/>
  <c r="B383" i="1"/>
  <c r="E376" i="7"/>
  <c r="B279" i="7"/>
  <c r="C279" i="7"/>
  <c r="F330" i="7"/>
  <c r="E329" i="7"/>
  <c r="F328" i="7"/>
  <c r="E327" i="7"/>
  <c r="F326" i="7"/>
  <c r="E325" i="7"/>
  <c r="F324" i="7"/>
  <c r="E323" i="7"/>
  <c r="F322" i="7"/>
  <c r="E321" i="7"/>
  <c r="E319" i="7"/>
  <c r="E324" i="7"/>
  <c r="F323" i="7"/>
  <c r="F320" i="7"/>
  <c r="E320" i="7"/>
  <c r="F319" i="7"/>
  <c r="F317" i="7"/>
  <c r="E317" i="7"/>
  <c r="F316" i="7"/>
  <c r="E316" i="7"/>
  <c r="F315" i="7"/>
  <c r="E315" i="7"/>
  <c r="F314" i="7"/>
  <c r="E314" i="7"/>
  <c r="F313" i="7"/>
  <c r="E313" i="7"/>
  <c r="F312" i="7"/>
  <c r="E312" i="7"/>
  <c r="F311" i="7"/>
  <c r="E311" i="7"/>
  <c r="F310" i="7"/>
  <c r="E310" i="7"/>
  <c r="F309" i="7"/>
  <c r="E309" i="7"/>
  <c r="F308" i="7"/>
  <c r="E308" i="7"/>
  <c r="F307" i="7"/>
  <c r="E307" i="7"/>
  <c r="F306" i="7"/>
  <c r="E306" i="7"/>
  <c r="F304" i="7"/>
  <c r="E304" i="7"/>
  <c r="F303" i="7"/>
  <c r="E303" i="7"/>
  <c r="F302" i="7"/>
  <c r="E302" i="7"/>
  <c r="F301" i="7"/>
  <c r="E301" i="7"/>
  <c r="F300" i="7"/>
  <c r="E300" i="7"/>
  <c r="F299" i="7"/>
  <c r="E299" i="7"/>
  <c r="F298" i="7"/>
  <c r="E298" i="7"/>
  <c r="F297" i="7"/>
  <c r="E297" i="7"/>
  <c r="F296" i="7"/>
  <c r="E296" i="7"/>
  <c r="F295" i="7"/>
  <c r="E295" i="7"/>
  <c r="F294" i="7"/>
  <c r="E294" i="7"/>
  <c r="F293" i="7"/>
  <c r="E293" i="7"/>
  <c r="F291" i="7"/>
  <c r="E291" i="7"/>
  <c r="F290" i="7"/>
  <c r="E290" i="7"/>
  <c r="F289" i="7"/>
  <c r="E289" i="7"/>
  <c r="F288" i="7"/>
  <c r="E288" i="7"/>
  <c r="F287" i="7"/>
  <c r="E287" i="7"/>
  <c r="F286" i="7"/>
  <c r="E286" i="7"/>
  <c r="F285" i="7"/>
  <c r="E285" i="7"/>
  <c r="F284" i="7"/>
  <c r="E284" i="7"/>
  <c r="F283" i="7"/>
  <c r="E283" i="7"/>
  <c r="F282" i="7"/>
  <c r="E282" i="7"/>
  <c r="F281" i="7"/>
  <c r="E281" i="7"/>
  <c r="F280" i="7"/>
  <c r="E280" i="7"/>
  <c r="F278" i="7"/>
  <c r="E278" i="7"/>
  <c r="F277" i="7"/>
  <c r="E277" i="7"/>
  <c r="F276" i="7"/>
  <c r="E276" i="7"/>
  <c r="F275" i="7"/>
  <c r="E275" i="7"/>
  <c r="F274" i="7"/>
  <c r="E274" i="7"/>
  <c r="F273" i="7"/>
  <c r="E273" i="7"/>
  <c r="F272" i="7"/>
  <c r="E272" i="7"/>
  <c r="F271" i="7"/>
  <c r="E271" i="7"/>
  <c r="F270" i="7"/>
  <c r="E270" i="7"/>
  <c r="F269" i="7"/>
  <c r="E269" i="7"/>
  <c r="F332" i="7"/>
  <c r="E332" i="7"/>
  <c r="E333" i="7"/>
  <c r="F333" i="7"/>
  <c r="E334" i="7"/>
  <c r="F334" i="7"/>
  <c r="E335" i="7"/>
  <c r="F335" i="7"/>
  <c r="E336" i="7"/>
  <c r="F336" i="7"/>
  <c r="C383" i="7"/>
  <c r="B383" i="7"/>
  <c r="G370" i="7"/>
  <c r="F23" i="10" s="1"/>
  <c r="G23" i="10" s="1"/>
  <c r="D370" i="7"/>
  <c r="C370" i="7"/>
  <c r="B370" i="7"/>
  <c r="G357" i="7"/>
  <c r="D357" i="7"/>
  <c r="B357" i="7"/>
  <c r="G344" i="7"/>
  <c r="D344" i="7"/>
  <c r="C344" i="7"/>
  <c r="B344" i="7"/>
  <c r="G331" i="7"/>
  <c r="D331" i="7"/>
  <c r="C331" i="7"/>
  <c r="B331" i="7"/>
  <c r="G318" i="7"/>
  <c r="D318" i="7"/>
  <c r="C318" i="7"/>
  <c r="B318" i="7"/>
  <c r="G305" i="7"/>
  <c r="D305" i="7"/>
  <c r="C305" i="7"/>
  <c r="B305" i="7"/>
  <c r="G292" i="7"/>
  <c r="D292" i="7"/>
  <c r="C292" i="7"/>
  <c r="B292" i="7"/>
  <c r="G279" i="7"/>
  <c r="D279" i="7"/>
  <c r="E279" i="7" s="1"/>
  <c r="E337" i="7"/>
  <c r="F337" i="7"/>
  <c r="E338" i="7"/>
  <c r="F338" i="7"/>
  <c r="E339" i="7"/>
  <c r="F339" i="7"/>
  <c r="E340" i="7"/>
  <c r="F340" i="7"/>
  <c r="E341" i="7"/>
  <c r="F341" i="7"/>
  <c r="E342" i="7"/>
  <c r="F342" i="7"/>
  <c r="E343" i="7"/>
  <c r="F343" i="7"/>
  <c r="C345" i="7"/>
  <c r="E345" i="7"/>
  <c r="F345" i="7"/>
  <c r="C346" i="7"/>
  <c r="E346" i="7"/>
  <c r="F346" i="7"/>
  <c r="C347" i="7"/>
  <c r="E347" i="7"/>
  <c r="F347" i="7"/>
  <c r="C348" i="7"/>
  <c r="E348" i="7"/>
  <c r="F348" i="7"/>
  <c r="C349" i="7"/>
  <c r="E349" i="7"/>
  <c r="F349" i="7"/>
  <c r="C350" i="7"/>
  <c r="E350" i="7"/>
  <c r="F350" i="7"/>
  <c r="C351" i="7"/>
  <c r="E351" i="7"/>
  <c r="F351" i="7"/>
  <c r="C352" i="7"/>
  <c r="E352" i="7"/>
  <c r="F352" i="7"/>
  <c r="C353" i="7"/>
  <c r="E353" i="7"/>
  <c r="F353" i="7"/>
  <c r="C354" i="7"/>
  <c r="E354" i="7"/>
  <c r="F354" i="7"/>
  <c r="C355" i="7"/>
  <c r="E355" i="7"/>
  <c r="F355" i="7"/>
  <c r="C356" i="7"/>
  <c r="E356" i="7"/>
  <c r="F356" i="7"/>
  <c r="E358" i="7"/>
  <c r="F358" i="7"/>
  <c r="E359" i="7"/>
  <c r="F359" i="7"/>
  <c r="E360" i="7"/>
  <c r="F360" i="7"/>
  <c r="E361" i="7"/>
  <c r="F361" i="7"/>
  <c r="E362" i="7"/>
  <c r="F362" i="7"/>
  <c r="E363" i="7"/>
  <c r="F363" i="7"/>
  <c r="E364" i="7"/>
  <c r="F364" i="7"/>
  <c r="E365" i="7"/>
  <c r="F365" i="7"/>
  <c r="E366" i="7"/>
  <c r="F366" i="7"/>
  <c r="E367" i="7"/>
  <c r="F367" i="7"/>
  <c r="E368" i="7"/>
  <c r="F368" i="7"/>
  <c r="E369" i="7"/>
  <c r="F369" i="7"/>
  <c r="E371" i="7"/>
  <c r="F371" i="7"/>
  <c r="E372" i="7"/>
  <c r="E373" i="7"/>
  <c r="E374" i="7"/>
  <c r="E375" i="7"/>
  <c r="J9" i="10"/>
  <c r="C10" i="10"/>
  <c r="E10" i="10"/>
  <c r="G10" i="10"/>
  <c r="J10" i="10"/>
  <c r="C11" i="10"/>
  <c r="E11" i="10"/>
  <c r="G11" i="10"/>
  <c r="J11" i="10"/>
  <c r="C12" i="10"/>
  <c r="E12" i="10"/>
  <c r="G12" i="10"/>
  <c r="J12" i="10"/>
  <c r="L12" i="10"/>
  <c r="M12" i="10" s="1"/>
  <c r="C13" i="10"/>
  <c r="E13" i="10"/>
  <c r="G13" i="10"/>
  <c r="I13" i="10"/>
  <c r="J13" i="10"/>
  <c r="L13" i="10"/>
  <c r="C14" i="10"/>
  <c r="E14" i="10"/>
  <c r="G14" i="10"/>
  <c r="I14" i="10"/>
  <c r="J14" i="10"/>
  <c r="L14" i="10"/>
  <c r="C15" i="10"/>
  <c r="E15" i="10"/>
  <c r="G15" i="10"/>
  <c r="I15" i="10"/>
  <c r="J15" i="10"/>
  <c r="L15" i="10"/>
  <c r="C16" i="10"/>
  <c r="E16" i="10"/>
  <c r="G16" i="10"/>
  <c r="I16" i="10"/>
  <c r="J16" i="10"/>
  <c r="L16" i="10"/>
  <c r="C17" i="10"/>
  <c r="E17" i="10"/>
  <c r="G17" i="10"/>
  <c r="I17" i="10"/>
  <c r="J17" i="10"/>
  <c r="L17" i="10"/>
  <c r="C18" i="10"/>
  <c r="E18" i="10"/>
  <c r="G18" i="10"/>
  <c r="I18" i="10"/>
  <c r="J18" i="10"/>
  <c r="L18" i="10"/>
  <c r="C19" i="10"/>
  <c r="E19" i="10"/>
  <c r="G19" i="10"/>
  <c r="I19" i="10"/>
  <c r="J19" i="10"/>
  <c r="L19" i="10"/>
  <c r="C20" i="10"/>
  <c r="E20" i="10"/>
  <c r="G20" i="10"/>
  <c r="I20" i="10"/>
  <c r="J20" i="10"/>
  <c r="L20" i="10"/>
  <c r="C21" i="10"/>
  <c r="E21" i="10"/>
  <c r="G21" i="10"/>
  <c r="I21" i="10"/>
  <c r="J21" i="10"/>
  <c r="L21" i="10"/>
  <c r="B22" i="10"/>
  <c r="C22" i="10" s="1"/>
  <c r="E22" i="10"/>
  <c r="G22" i="10"/>
  <c r="I22" i="10"/>
  <c r="L22" i="10"/>
  <c r="B23" i="10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C32" i="1"/>
  <c r="D32" i="1"/>
  <c r="E32" i="1" s="1"/>
  <c r="G32" i="1"/>
  <c r="B33" i="1"/>
  <c r="B20" i="1" s="1"/>
  <c r="E33" i="1"/>
  <c r="F33" i="1"/>
  <c r="B34" i="1"/>
  <c r="B21" i="1" s="1"/>
  <c r="E34" i="1"/>
  <c r="F34" i="1"/>
  <c r="B35" i="1"/>
  <c r="B22" i="1" s="1"/>
  <c r="E35" i="1"/>
  <c r="F35" i="1"/>
  <c r="B36" i="1"/>
  <c r="B23" i="1" s="1"/>
  <c r="E36" i="1"/>
  <c r="F36" i="1"/>
  <c r="B37" i="1"/>
  <c r="B24" i="1" s="1"/>
  <c r="E37" i="1"/>
  <c r="F37" i="1"/>
  <c r="B38" i="1"/>
  <c r="B25" i="1" s="1"/>
  <c r="E38" i="1"/>
  <c r="F38" i="1"/>
  <c r="B39" i="1"/>
  <c r="B26" i="1" s="1"/>
  <c r="E39" i="1"/>
  <c r="F39" i="1"/>
  <c r="B40" i="1"/>
  <c r="B27" i="1" s="1"/>
  <c r="E40" i="1"/>
  <c r="F40" i="1"/>
  <c r="B41" i="1"/>
  <c r="B28" i="1" s="1"/>
  <c r="E41" i="1"/>
  <c r="F41" i="1"/>
  <c r="B42" i="1"/>
  <c r="B29" i="1" s="1"/>
  <c r="E42" i="1"/>
  <c r="F42" i="1"/>
  <c r="B43" i="1"/>
  <c r="B30" i="1" s="1"/>
  <c r="E43" i="1"/>
  <c r="F43" i="1"/>
  <c r="B44" i="1"/>
  <c r="B31" i="1" s="1"/>
  <c r="E44" i="1"/>
  <c r="F44" i="1"/>
  <c r="C45" i="1"/>
  <c r="D45" i="1"/>
  <c r="G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B58" i="1"/>
  <c r="C58" i="1"/>
  <c r="D58" i="1"/>
  <c r="G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B71" i="1"/>
  <c r="C71" i="1"/>
  <c r="D71" i="1"/>
  <c r="G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B84" i="1"/>
  <c r="C84" i="1"/>
  <c r="D84" i="1"/>
  <c r="G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B97" i="1"/>
  <c r="C97" i="1"/>
  <c r="D97" i="1"/>
  <c r="G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B110" i="1"/>
  <c r="C110" i="1"/>
  <c r="D110" i="1"/>
  <c r="G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B123" i="1"/>
  <c r="C123" i="1"/>
  <c r="D123" i="1"/>
  <c r="G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B136" i="1"/>
  <c r="C136" i="1"/>
  <c r="D136" i="1"/>
  <c r="G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B149" i="1"/>
  <c r="C149" i="1"/>
  <c r="D149" i="1"/>
  <c r="G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B162" i="1"/>
  <c r="C162" i="1"/>
  <c r="D162" i="1"/>
  <c r="G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B175" i="1"/>
  <c r="C175" i="1"/>
  <c r="D175" i="1"/>
  <c r="G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B182" i="1"/>
  <c r="E182" i="1"/>
  <c r="F182" i="1"/>
  <c r="B183" i="1"/>
  <c r="E183" i="1"/>
  <c r="F183" i="1"/>
  <c r="B184" i="1"/>
  <c r="E184" i="1"/>
  <c r="F184" i="1"/>
  <c r="B185" i="1"/>
  <c r="E185" i="1"/>
  <c r="F185" i="1"/>
  <c r="B186" i="1"/>
  <c r="E186" i="1"/>
  <c r="F186" i="1"/>
  <c r="B187" i="1"/>
  <c r="E187" i="1"/>
  <c r="F187" i="1"/>
  <c r="C188" i="1"/>
  <c r="D188" i="1"/>
  <c r="G188" i="1"/>
  <c r="B189" i="1"/>
  <c r="F189" i="1"/>
  <c r="B190" i="1"/>
  <c r="E190" i="1"/>
  <c r="F190" i="1"/>
  <c r="B191" i="1"/>
  <c r="E191" i="1"/>
  <c r="F191" i="1"/>
  <c r="B192" i="1"/>
  <c r="E192" i="1"/>
  <c r="F192" i="1"/>
  <c r="B193" i="1"/>
  <c r="E193" i="1"/>
  <c r="F193" i="1"/>
  <c r="B194" i="1"/>
  <c r="E194" i="1"/>
  <c r="F194" i="1"/>
  <c r="B195" i="1"/>
  <c r="E195" i="1"/>
  <c r="F195" i="1"/>
  <c r="B196" i="1"/>
  <c r="E196" i="1"/>
  <c r="F196" i="1"/>
  <c r="B197" i="1"/>
  <c r="E197" i="1"/>
  <c r="F197" i="1"/>
  <c r="B198" i="1"/>
  <c r="E198" i="1"/>
  <c r="F198" i="1"/>
  <c r="B199" i="1"/>
  <c r="E199" i="1"/>
  <c r="F199" i="1"/>
  <c r="B200" i="1"/>
  <c r="E200" i="1"/>
  <c r="F200" i="1"/>
  <c r="C201" i="1"/>
  <c r="D201" i="1"/>
  <c r="G201" i="1"/>
  <c r="B202" i="1"/>
  <c r="E202" i="1"/>
  <c r="F202" i="1"/>
  <c r="B203" i="1"/>
  <c r="E203" i="1"/>
  <c r="F203" i="1"/>
  <c r="B204" i="1"/>
  <c r="E204" i="1"/>
  <c r="F204" i="1"/>
  <c r="B205" i="1"/>
  <c r="E205" i="1"/>
  <c r="F205" i="1"/>
  <c r="B206" i="1"/>
  <c r="E206" i="1"/>
  <c r="F206" i="1"/>
  <c r="B207" i="1"/>
  <c r="E207" i="1"/>
  <c r="F207" i="1"/>
  <c r="B208" i="1"/>
  <c r="E208" i="1"/>
  <c r="F208" i="1"/>
  <c r="B209" i="1"/>
  <c r="E209" i="1"/>
  <c r="F209" i="1"/>
  <c r="B210" i="1"/>
  <c r="E210" i="1"/>
  <c r="F210" i="1"/>
  <c r="B211" i="1"/>
  <c r="E211" i="1"/>
  <c r="F211" i="1"/>
  <c r="B212" i="1"/>
  <c r="E212" i="1"/>
  <c r="F212" i="1"/>
  <c r="E213" i="1"/>
  <c r="F213" i="1"/>
  <c r="C214" i="1"/>
  <c r="D214" i="1"/>
  <c r="G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B227" i="1"/>
  <c r="C227" i="1"/>
  <c r="D227" i="1"/>
  <c r="G227" i="1"/>
  <c r="B228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B234" i="1"/>
  <c r="E234" i="1"/>
  <c r="F234" i="1"/>
  <c r="B235" i="1"/>
  <c r="E235" i="1"/>
  <c r="F235" i="1"/>
  <c r="B236" i="1"/>
  <c r="E236" i="1"/>
  <c r="F236" i="1"/>
  <c r="E237" i="1"/>
  <c r="F237" i="1"/>
  <c r="B238" i="1"/>
  <c r="E238" i="1"/>
  <c r="F238" i="1"/>
  <c r="B239" i="1"/>
  <c r="E239" i="1"/>
  <c r="F239" i="1"/>
  <c r="C240" i="1"/>
  <c r="D240" i="1"/>
  <c r="G240" i="1"/>
  <c r="B241" i="1"/>
  <c r="E241" i="1"/>
  <c r="F241" i="1"/>
  <c r="B242" i="1"/>
  <c r="E242" i="1"/>
  <c r="F242" i="1"/>
  <c r="B243" i="1"/>
  <c r="E243" i="1"/>
  <c r="F243" i="1"/>
  <c r="B244" i="1"/>
  <c r="E244" i="1"/>
  <c r="F244" i="1"/>
  <c r="B245" i="1"/>
  <c r="E245" i="1"/>
  <c r="F245" i="1"/>
  <c r="B246" i="1"/>
  <c r="E246" i="1"/>
  <c r="F246" i="1"/>
  <c r="B247" i="1"/>
  <c r="E247" i="1"/>
  <c r="F247" i="1"/>
  <c r="B248" i="1"/>
  <c r="E248" i="1"/>
  <c r="F248" i="1"/>
  <c r="B249" i="1"/>
  <c r="E249" i="1"/>
  <c r="F249" i="1"/>
  <c r="B250" i="1"/>
  <c r="E250" i="1"/>
  <c r="F250" i="1"/>
  <c r="B251" i="1"/>
  <c r="E251" i="1"/>
  <c r="F251" i="1"/>
  <c r="B252" i="1"/>
  <c r="E252" i="1"/>
  <c r="F252" i="1"/>
  <c r="C253" i="1"/>
  <c r="D253" i="1"/>
  <c r="G253" i="1"/>
  <c r="B254" i="1"/>
  <c r="E254" i="1"/>
  <c r="F254" i="1"/>
  <c r="B255" i="1"/>
  <c r="E255" i="1"/>
  <c r="F255" i="1"/>
  <c r="B256" i="1"/>
  <c r="E256" i="1"/>
  <c r="F256" i="1"/>
  <c r="B257" i="1"/>
  <c r="E257" i="1"/>
  <c r="F257" i="1"/>
  <c r="B258" i="1"/>
  <c r="E258" i="1"/>
  <c r="F258" i="1"/>
  <c r="B259" i="1"/>
  <c r="E259" i="1"/>
  <c r="F259" i="1"/>
  <c r="B260" i="1"/>
  <c r="E260" i="1"/>
  <c r="F260" i="1"/>
  <c r="B261" i="1"/>
  <c r="E261" i="1"/>
  <c r="F261" i="1"/>
  <c r="B262" i="1"/>
  <c r="E262" i="1"/>
  <c r="F262" i="1"/>
  <c r="B263" i="1"/>
  <c r="E263" i="1"/>
  <c r="F263" i="1"/>
  <c r="B264" i="1"/>
  <c r="E264" i="1"/>
  <c r="F264" i="1"/>
  <c r="B265" i="1"/>
  <c r="E265" i="1"/>
  <c r="F265" i="1"/>
  <c r="C266" i="1"/>
  <c r="D266" i="1"/>
  <c r="G266" i="1"/>
  <c r="B267" i="1"/>
  <c r="B279" i="1" s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C279" i="1"/>
  <c r="D279" i="1"/>
  <c r="G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B292" i="1"/>
  <c r="C292" i="1"/>
  <c r="D292" i="1"/>
  <c r="G292" i="1"/>
  <c r="C293" i="1"/>
  <c r="E293" i="1"/>
  <c r="F293" i="1"/>
  <c r="C294" i="1"/>
  <c r="E294" i="1"/>
  <c r="F294" i="1"/>
  <c r="C295" i="1"/>
  <c r="E295" i="1"/>
  <c r="F295" i="1"/>
  <c r="C296" i="1"/>
  <c r="E296" i="1"/>
  <c r="F296" i="1"/>
  <c r="C297" i="1"/>
  <c r="E297" i="1"/>
  <c r="F297" i="1"/>
  <c r="C298" i="1"/>
  <c r="E298" i="1"/>
  <c r="F298" i="1"/>
  <c r="C299" i="1"/>
  <c r="E299" i="1"/>
  <c r="F299" i="1"/>
  <c r="C300" i="1"/>
  <c r="E300" i="1"/>
  <c r="F300" i="1"/>
  <c r="C301" i="1"/>
  <c r="E301" i="1"/>
  <c r="F301" i="1"/>
  <c r="C302" i="1"/>
  <c r="E302" i="1"/>
  <c r="F302" i="1"/>
  <c r="C303" i="1"/>
  <c r="E303" i="1"/>
  <c r="F303" i="1"/>
  <c r="C304" i="1"/>
  <c r="E304" i="1"/>
  <c r="F304" i="1"/>
  <c r="B305" i="1"/>
  <c r="D305" i="1"/>
  <c r="G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B318" i="1"/>
  <c r="C318" i="1"/>
  <c r="D318" i="1"/>
  <c r="G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B331" i="1"/>
  <c r="C331" i="1"/>
  <c r="D331" i="1"/>
  <c r="G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B344" i="1"/>
  <c r="C344" i="1"/>
  <c r="D344" i="1"/>
  <c r="G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B357" i="1"/>
  <c r="C357" i="1"/>
  <c r="D357" i="1"/>
  <c r="G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C370" i="1"/>
  <c r="D370" i="1"/>
  <c r="G370" i="1"/>
  <c r="C383" i="1"/>
  <c r="F371" i="1"/>
  <c r="F375" i="7"/>
  <c r="D383" i="7"/>
  <c r="H24" i="10" s="1"/>
  <c r="E330" i="7"/>
  <c r="F329" i="7"/>
  <c r="E328" i="7"/>
  <c r="F327" i="7"/>
  <c r="E326" i="7"/>
  <c r="F325" i="7"/>
  <c r="E322" i="7"/>
  <c r="F321" i="7"/>
  <c r="F372" i="1"/>
  <c r="F372" i="7"/>
  <c r="F373" i="7"/>
  <c r="F374" i="7"/>
  <c r="F376" i="7"/>
  <c r="F376" i="1"/>
  <c r="F374" i="1"/>
  <c r="F380" i="7"/>
  <c r="F379" i="7"/>
  <c r="F378" i="7"/>
  <c r="F377" i="7"/>
  <c r="F379" i="1"/>
  <c r="F378" i="1"/>
  <c r="F377" i="1"/>
  <c r="F375" i="1"/>
  <c r="F373" i="1"/>
  <c r="F382" i="1"/>
  <c r="F380" i="1"/>
  <c r="D383" i="1"/>
  <c r="D24" i="10" s="1"/>
  <c r="E387" i="1"/>
  <c r="D396" i="1"/>
  <c r="D25" i="10" s="1"/>
  <c r="E394" i="1"/>
  <c r="F401" i="7"/>
  <c r="F398" i="7"/>
  <c r="E427" i="7"/>
  <c r="F425" i="7"/>
  <c r="F433" i="7"/>
  <c r="F438" i="7"/>
  <c r="F416" i="7"/>
  <c r="E416" i="7"/>
  <c r="E438" i="1"/>
  <c r="F441" i="7"/>
  <c r="E441" i="7"/>
  <c r="G52" i="11"/>
  <c r="G53" i="11" s="1"/>
  <c r="F429" i="7"/>
  <c r="E399" i="7"/>
  <c r="E437" i="7"/>
  <c r="E392" i="7"/>
  <c r="F445" i="7"/>
  <c r="E439" i="7"/>
  <c r="F430" i="1"/>
  <c r="F404" i="1"/>
  <c r="E460" i="1"/>
  <c r="F405" i="7" l="1"/>
  <c r="E408" i="7"/>
  <c r="F318" i="7"/>
  <c r="E412" i="7"/>
  <c r="F443" i="7"/>
  <c r="K20" i="10"/>
  <c r="M16" i="10"/>
  <c r="F433" i="1"/>
  <c r="F419" i="1"/>
  <c r="E446" i="1"/>
  <c r="E240" i="1"/>
  <c r="F400" i="1"/>
  <c r="E472" i="7"/>
  <c r="F437" i="1"/>
  <c r="E188" i="1"/>
  <c r="F440" i="1"/>
  <c r="E452" i="1"/>
  <c r="E279" i="1"/>
  <c r="E451" i="1"/>
  <c r="E459" i="1"/>
  <c r="E292" i="1"/>
  <c r="E71" i="1"/>
  <c r="E56" i="11"/>
  <c r="F56" i="11" s="1"/>
  <c r="A23" i="11"/>
  <c r="G23" i="11" s="1"/>
  <c r="F442" i="1"/>
  <c r="E444" i="7"/>
  <c r="E446" i="7"/>
  <c r="F456" i="1"/>
  <c r="F410" i="7"/>
  <c r="M21" i="10"/>
  <c r="M17" i="10"/>
  <c r="F411" i="7"/>
  <c r="K21" i="10"/>
  <c r="F469" i="7"/>
  <c r="F459" i="7"/>
  <c r="E415" i="7"/>
  <c r="E453" i="1"/>
  <c r="F428" i="1"/>
  <c r="K11" i="10"/>
  <c r="E427" i="1"/>
  <c r="E407" i="1"/>
  <c r="E227" i="1"/>
  <c r="M22" i="10"/>
  <c r="K18" i="10"/>
  <c r="E357" i="7"/>
  <c r="F447" i="1"/>
  <c r="M19" i="10"/>
  <c r="E331" i="7"/>
  <c r="F344" i="7"/>
  <c r="E462" i="7"/>
  <c r="F406" i="1"/>
  <c r="E430" i="7"/>
  <c r="F423" i="7"/>
  <c r="F434" i="1"/>
  <c r="F439" i="1"/>
  <c r="F431" i="1"/>
  <c r="E415" i="1"/>
  <c r="K10" i="10"/>
  <c r="E370" i="7"/>
  <c r="F418" i="7"/>
  <c r="F471" i="1"/>
  <c r="E443" i="1"/>
  <c r="E383" i="7"/>
  <c r="E397" i="7"/>
  <c r="E318" i="7"/>
  <c r="E344" i="7"/>
  <c r="E455" i="1"/>
  <c r="E425" i="1"/>
  <c r="E410" i="1"/>
  <c r="F399" i="1"/>
  <c r="F450" i="7"/>
  <c r="E456" i="7"/>
  <c r="E420" i="7"/>
  <c r="F431" i="7"/>
  <c r="F292" i="7"/>
  <c r="E404" i="7"/>
  <c r="E458" i="7"/>
  <c r="E449" i="7"/>
  <c r="F436" i="7"/>
  <c r="H23" i="10"/>
  <c r="I23" i="10" s="1"/>
  <c r="E453" i="7"/>
  <c r="F400" i="7"/>
  <c r="E407" i="7"/>
  <c r="F357" i="7"/>
  <c r="F428" i="7"/>
  <c r="E429" i="1"/>
  <c r="E357" i="1"/>
  <c r="F318" i="1"/>
  <c r="B253" i="1"/>
  <c r="E136" i="1"/>
  <c r="E110" i="1"/>
  <c r="E344" i="1"/>
  <c r="E318" i="1"/>
  <c r="F162" i="1"/>
  <c r="F123" i="1"/>
  <c r="E201" i="1"/>
  <c r="F414" i="1"/>
  <c r="M20" i="10"/>
  <c r="K16" i="10"/>
  <c r="K17" i="10"/>
  <c r="M15" i="10"/>
  <c r="M33" i="10"/>
  <c r="K33" i="10"/>
  <c r="G25" i="10"/>
  <c r="F398" i="1"/>
  <c r="F357" i="1"/>
  <c r="F344" i="1"/>
  <c r="F279" i="1"/>
  <c r="C357" i="7"/>
  <c r="E292" i="7"/>
  <c r="E408" i="1"/>
  <c r="E414" i="7"/>
  <c r="E214" i="1"/>
  <c r="M18" i="10"/>
  <c r="K12" i="10"/>
  <c r="F419" i="7"/>
  <c r="F445" i="1"/>
  <c r="E440" i="7"/>
  <c r="E418" i="1"/>
  <c r="E403" i="1"/>
  <c r="F383" i="7"/>
  <c r="E370" i="1"/>
  <c r="E266" i="1"/>
  <c r="E45" i="1"/>
  <c r="M14" i="10"/>
  <c r="F423" i="1"/>
  <c r="E447" i="7"/>
  <c r="K19" i="10"/>
  <c r="F465" i="7"/>
  <c r="D461" i="7"/>
  <c r="E402" i="1"/>
  <c r="F395" i="7"/>
  <c r="E393" i="7"/>
  <c r="E253" i="1"/>
  <c r="K14" i="10"/>
  <c r="F279" i="7"/>
  <c r="G26" i="10"/>
  <c r="F421" i="7"/>
  <c r="F432" i="7"/>
  <c r="E458" i="1"/>
  <c r="E424" i="1"/>
  <c r="E417" i="1"/>
  <c r="F402" i="7"/>
  <c r="F331" i="7"/>
  <c r="F136" i="1"/>
  <c r="F97" i="1"/>
  <c r="F71" i="1"/>
  <c r="F58" i="1"/>
  <c r="F45" i="1"/>
  <c r="F32" i="1"/>
  <c r="F406" i="7"/>
  <c r="F444" i="1"/>
  <c r="E468" i="7"/>
  <c r="I32" i="10"/>
  <c r="E426" i="1"/>
  <c r="F421" i="1"/>
  <c r="E305" i="1"/>
  <c r="F149" i="1"/>
  <c r="F397" i="1"/>
  <c r="B266" i="1"/>
  <c r="F253" i="1"/>
  <c r="B240" i="1"/>
  <c r="F266" i="1"/>
  <c r="E175" i="1"/>
  <c r="F449" i="1"/>
  <c r="E413" i="1"/>
  <c r="F201" i="1"/>
  <c r="F331" i="1"/>
  <c r="E383" i="1"/>
  <c r="B4" i="11"/>
  <c r="F449" i="7"/>
  <c r="F30" i="10"/>
  <c r="G31" i="10" s="1"/>
  <c r="E162" i="1"/>
  <c r="E436" i="1"/>
  <c r="F475" i="1"/>
  <c r="F487" i="1" s="1"/>
  <c r="E475" i="1"/>
  <c r="E331" i="1"/>
  <c r="E84" i="1"/>
  <c r="E58" i="1"/>
  <c r="F441" i="1"/>
  <c r="E149" i="1"/>
  <c r="F188" i="1"/>
  <c r="F467" i="1"/>
  <c r="B27" i="10"/>
  <c r="C27" i="10" s="1"/>
  <c r="F436" i="1"/>
  <c r="E449" i="1"/>
  <c r="E23" i="10"/>
  <c r="E423" i="1"/>
  <c r="B28" i="10"/>
  <c r="J28" i="10" s="1"/>
  <c r="J22" i="10"/>
  <c r="K22" i="10" s="1"/>
  <c r="B29" i="10"/>
  <c r="L24" i="10"/>
  <c r="F84" i="1"/>
  <c r="B32" i="1"/>
  <c r="E454" i="1"/>
  <c r="E396" i="1"/>
  <c r="F370" i="1"/>
  <c r="F305" i="1"/>
  <c r="B188" i="1"/>
  <c r="F175" i="1"/>
  <c r="F383" i="1"/>
  <c r="F214" i="1"/>
  <c r="B214" i="1"/>
  <c r="B201" i="1"/>
  <c r="E123" i="1"/>
  <c r="E97" i="1"/>
  <c r="F396" i="1"/>
  <c r="C305" i="1"/>
  <c r="F292" i="1"/>
  <c r="F240" i="1"/>
  <c r="F227" i="1"/>
  <c r="B31" i="10"/>
  <c r="E54" i="11"/>
  <c r="F54" i="11" s="1"/>
  <c r="E58" i="11"/>
  <c r="F58" i="11" s="1"/>
  <c r="E53" i="11"/>
  <c r="F53" i="11" s="1"/>
  <c r="E51" i="11"/>
  <c r="F51" i="11" s="1"/>
  <c r="E62" i="11"/>
  <c r="F62" i="11" s="1"/>
  <c r="E59" i="11"/>
  <c r="F59" i="11" s="1"/>
  <c r="E57" i="11"/>
  <c r="F57" i="11" s="1"/>
  <c r="O5" i="11"/>
  <c r="E60" i="11"/>
  <c r="F60" i="11" s="1"/>
  <c r="E55" i="11"/>
  <c r="F55" i="11" s="1"/>
  <c r="E52" i="11"/>
  <c r="F52" i="11" s="1"/>
  <c r="E61" i="11"/>
  <c r="F61" i="11" s="1"/>
  <c r="D422" i="1"/>
  <c r="F412" i="1"/>
  <c r="E424" i="7"/>
  <c r="E413" i="7"/>
  <c r="D409" i="7"/>
  <c r="F394" i="7"/>
  <c r="K15" i="10"/>
  <c r="M13" i="10"/>
  <c r="F305" i="7"/>
  <c r="D435" i="7"/>
  <c r="E423" i="7"/>
  <c r="E450" i="1"/>
  <c r="F450" i="1"/>
  <c r="E460" i="7"/>
  <c r="F460" i="7"/>
  <c r="D448" i="1"/>
  <c r="F401" i="1"/>
  <c r="D422" i="7"/>
  <c r="E405" i="1"/>
  <c r="J23" i="10"/>
  <c r="D396" i="7"/>
  <c r="D448" i="7"/>
  <c r="F432" i="1"/>
  <c r="E420" i="1"/>
  <c r="B45" i="1"/>
  <c r="F110" i="1"/>
  <c r="K13" i="10"/>
  <c r="F370" i="7"/>
  <c r="E305" i="7"/>
  <c r="E434" i="7"/>
  <c r="E442" i="7"/>
  <c r="E451" i="7"/>
  <c r="E416" i="1"/>
  <c r="F416" i="1"/>
  <c r="E454" i="7"/>
  <c r="D409" i="1"/>
  <c r="D435" i="1"/>
  <c r="E426" i="7"/>
  <c r="J24" i="10"/>
  <c r="E417" i="7"/>
  <c r="E403" i="7"/>
  <c r="F455" i="7"/>
  <c r="E455" i="7"/>
  <c r="E457" i="7"/>
  <c r="F457" i="7"/>
  <c r="D461" i="1"/>
  <c r="F457" i="1"/>
  <c r="E457" i="1"/>
  <c r="C23" i="10"/>
  <c r="F462" i="1"/>
  <c r="E462" i="1"/>
  <c r="C24" i="10"/>
  <c r="E25" i="10"/>
  <c r="G29" i="10"/>
  <c r="E24" i="10"/>
  <c r="G24" i="10"/>
  <c r="D474" i="7"/>
  <c r="F464" i="7"/>
  <c r="F473" i="7"/>
  <c r="G28" i="10"/>
  <c r="G27" i="10"/>
  <c r="I24" i="10"/>
  <c r="F462" i="7"/>
  <c r="F466" i="7"/>
  <c r="F470" i="7"/>
  <c r="J26" i="10"/>
  <c r="E463" i="7"/>
  <c r="E467" i="7"/>
  <c r="E471" i="7"/>
  <c r="D474" i="1"/>
  <c r="F463" i="1"/>
  <c r="E464" i="1"/>
  <c r="E466" i="1"/>
  <c r="E470" i="1"/>
  <c r="F468" i="1"/>
  <c r="F472" i="1"/>
  <c r="C26" i="10"/>
  <c r="C25" i="10"/>
  <c r="J25" i="10"/>
  <c r="B30" i="10"/>
  <c r="E465" i="1"/>
  <c r="E469" i="1"/>
  <c r="E473" i="1"/>
  <c r="F448" i="7" l="1"/>
  <c r="G16" i="11"/>
  <c r="F16" i="11"/>
  <c r="E16" i="11"/>
  <c r="D16" i="11"/>
  <c r="C16" i="11"/>
  <c r="B16" i="11"/>
  <c r="G18" i="11"/>
  <c r="F18" i="11"/>
  <c r="E18" i="11"/>
  <c r="D18" i="11"/>
  <c r="C18" i="11"/>
  <c r="B18" i="11"/>
  <c r="G14" i="11"/>
  <c r="F14" i="11"/>
  <c r="E14" i="11"/>
  <c r="D14" i="11"/>
  <c r="C14" i="11"/>
  <c r="B14" i="11"/>
  <c r="G12" i="11"/>
  <c r="F12" i="11"/>
  <c r="D12" i="11"/>
  <c r="C12" i="11"/>
  <c r="B12" i="11"/>
  <c r="E12" i="11"/>
  <c r="B15" i="11"/>
  <c r="G15" i="11"/>
  <c r="F15" i="11"/>
  <c r="E15" i="11"/>
  <c r="D15" i="11"/>
  <c r="C15" i="11"/>
  <c r="G20" i="11"/>
  <c r="F20" i="11"/>
  <c r="E20" i="11"/>
  <c r="D20" i="11"/>
  <c r="C20" i="11"/>
  <c r="B20" i="11"/>
  <c r="C21" i="11"/>
  <c r="D21" i="11"/>
  <c r="G21" i="11"/>
  <c r="B21" i="11"/>
  <c r="F21" i="11"/>
  <c r="E21" i="11"/>
  <c r="E17" i="11"/>
  <c r="D17" i="11"/>
  <c r="B17" i="11"/>
  <c r="F17" i="11"/>
  <c r="C17" i="11"/>
  <c r="G17" i="11"/>
  <c r="E19" i="11"/>
  <c r="G19" i="11"/>
  <c r="C19" i="11"/>
  <c r="F19" i="11"/>
  <c r="D19" i="11"/>
  <c r="B19" i="11"/>
  <c r="G22" i="11"/>
  <c r="F22" i="11"/>
  <c r="E22" i="11"/>
  <c r="D22" i="11"/>
  <c r="C22" i="11"/>
  <c r="B22" i="11"/>
  <c r="F11" i="11"/>
  <c r="D11" i="11"/>
  <c r="L29" i="11" s="1"/>
  <c r="B11" i="11"/>
  <c r="C11" i="11"/>
  <c r="G11" i="11"/>
  <c r="E11" i="11"/>
  <c r="C13" i="11"/>
  <c r="F13" i="11"/>
  <c r="E13" i="11"/>
  <c r="D13" i="11"/>
  <c r="G13" i="11"/>
  <c r="B13" i="11"/>
  <c r="L23" i="10"/>
  <c r="M23" i="10" s="1"/>
  <c r="F422" i="7"/>
  <c r="F435" i="7"/>
  <c r="F396" i="7"/>
  <c r="F409" i="1"/>
  <c r="C28" i="10"/>
  <c r="F435" i="1"/>
  <c r="H30" i="10"/>
  <c r="I30" i="10" s="1"/>
  <c r="E461" i="7"/>
  <c r="G30" i="10"/>
  <c r="F448" i="1"/>
  <c r="F409" i="7"/>
  <c r="F474" i="1"/>
  <c r="J27" i="10"/>
  <c r="K28" i="10" s="1"/>
  <c r="J31" i="10"/>
  <c r="C32" i="10"/>
  <c r="E32" i="10"/>
  <c r="M24" i="10"/>
  <c r="F461" i="7"/>
  <c r="K23" i="10"/>
  <c r="C31" i="10"/>
  <c r="J29" i="10"/>
  <c r="K29" i="10" s="1"/>
  <c r="C29" i="10"/>
  <c r="F461" i="1"/>
  <c r="D30" i="10"/>
  <c r="E461" i="1"/>
  <c r="K25" i="10"/>
  <c r="E474" i="1"/>
  <c r="D31" i="10"/>
  <c r="K24" i="10"/>
  <c r="E435" i="1"/>
  <c r="D28" i="10"/>
  <c r="E422" i="7"/>
  <c r="H27" i="10"/>
  <c r="E474" i="7"/>
  <c r="H31" i="10"/>
  <c r="I31" i="10" s="1"/>
  <c r="E409" i="1"/>
  <c r="D26" i="10"/>
  <c r="H29" i="10"/>
  <c r="I29" i="10" s="1"/>
  <c r="E448" i="7"/>
  <c r="E435" i="7"/>
  <c r="H28" i="10"/>
  <c r="I28" i="10" s="1"/>
  <c r="F422" i="1"/>
  <c r="H25" i="10"/>
  <c r="E396" i="7"/>
  <c r="D29" i="10"/>
  <c r="E448" i="1"/>
  <c r="H26" i="10"/>
  <c r="I26" i="10" s="1"/>
  <c r="E409" i="7"/>
  <c r="D27" i="10"/>
  <c r="E27" i="10" s="1"/>
  <c r="E422" i="1"/>
  <c r="F474" i="7"/>
  <c r="K26" i="10"/>
  <c r="J30" i="10"/>
  <c r="C30" i="10"/>
  <c r="K27" i="10" l="1"/>
  <c r="K32" i="10"/>
  <c r="M32" i="10"/>
  <c r="D23" i="11"/>
  <c r="B23" i="11"/>
  <c r="F23" i="11"/>
  <c r="L30" i="1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C23" i="11"/>
  <c r="E29" i="10"/>
  <c r="L29" i="10"/>
  <c r="M29" i="10" s="1"/>
  <c r="L25" i="10"/>
  <c r="M25" i="10" s="1"/>
  <c r="I25" i="10"/>
  <c r="E31" i="10"/>
  <c r="L31" i="10"/>
  <c r="M31" i="10" s="1"/>
  <c r="K30" i="10"/>
  <c r="K31" i="10"/>
  <c r="L28" i="10"/>
  <c r="M28" i="10" s="1"/>
  <c r="E28" i="10"/>
  <c r="L30" i="10"/>
  <c r="M30" i="10" s="1"/>
  <c r="E30" i="10"/>
  <c r="L26" i="10"/>
  <c r="M26" i="10" s="1"/>
  <c r="E26" i="10"/>
  <c r="L27" i="10"/>
  <c r="M27" i="10" s="1"/>
  <c r="I2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IM-01</author>
  </authors>
  <commentList>
    <comment ref="J74" authorId="0" shapeId="0" xr:uid="{00000000-0006-0000-0100-000001000000}">
      <text>
        <r>
          <rPr>
            <sz val="9"/>
            <color indexed="81"/>
            <rFont val="Tahoma"/>
            <family val="2"/>
          </rPr>
          <t>erdeu 3 zeros</t>
        </r>
      </text>
    </comment>
    <comment ref="J1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 Perdeu 3 zeros</t>
        </r>
      </text>
    </comment>
    <comment ref="J12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Mudança apenas no nome da moeda</t>
        </r>
      </text>
    </comment>
    <comment ref="J17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Perdeu 3 zeros</t>
        </r>
      </text>
    </comment>
    <comment ref="J182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Cr$ foi dividido por 2.750
</t>
        </r>
      </text>
    </comment>
  </commentList>
</comments>
</file>

<file path=xl/sharedStrings.xml><?xml version="1.0" encoding="utf-8"?>
<sst xmlns="http://schemas.openxmlformats.org/spreadsheetml/2006/main" count="1734" uniqueCount="141">
  <si>
    <t>Período</t>
  </si>
  <si>
    <t>Captação líquida</t>
  </si>
  <si>
    <t>Valor</t>
  </si>
  <si>
    <t>%</t>
  </si>
  <si>
    <t>Saldo</t>
  </si>
  <si>
    <t>Depósito</t>
  </si>
  <si>
    <t>Retirada</t>
  </si>
  <si>
    <t>(*)</t>
  </si>
  <si>
    <t>Rendimento</t>
  </si>
  <si>
    <t>Anos</t>
  </si>
  <si>
    <t>Captação Líquida</t>
  </si>
  <si>
    <t>R$ Milhões</t>
  </si>
  <si>
    <t>% Var.</t>
  </si>
  <si>
    <t>SBPE</t>
  </si>
  <si>
    <t>RURAL</t>
  </si>
  <si>
    <t>Total.2008</t>
  </si>
  <si>
    <t>Total.2007</t>
  </si>
  <si>
    <t>Total.1982</t>
  </si>
  <si>
    <t>Total.1983</t>
  </si>
  <si>
    <t>Total.1984</t>
  </si>
  <si>
    <t>Total.1985</t>
  </si>
  <si>
    <t>Total.1986</t>
  </si>
  <si>
    <t>Total.1987</t>
  </si>
  <si>
    <t>Total.1988</t>
  </si>
  <si>
    <t>Total.1989</t>
  </si>
  <si>
    <t>Total.1990</t>
  </si>
  <si>
    <t>Total.1991</t>
  </si>
  <si>
    <t>Total.1992</t>
  </si>
  <si>
    <t>Total.1993</t>
  </si>
  <si>
    <t>Total.1994</t>
  </si>
  <si>
    <t>Total.1995</t>
  </si>
  <si>
    <t>Total.1996</t>
  </si>
  <si>
    <t>Total.1997</t>
  </si>
  <si>
    <t>Total.1998</t>
  </si>
  <si>
    <t>Total.1999</t>
  </si>
  <si>
    <t>Total.2000</t>
  </si>
  <si>
    <t>Total.2001</t>
  </si>
  <si>
    <t>Total.2002</t>
  </si>
  <si>
    <t>Total.2003</t>
  </si>
  <si>
    <t>Total.2004</t>
  </si>
  <si>
    <t>Total.2005</t>
  </si>
  <si>
    <t>Total.2006</t>
  </si>
  <si>
    <t>Total.1981</t>
  </si>
  <si>
    <t>Total.1970</t>
  </si>
  <si>
    <t>Total.1971</t>
  </si>
  <si>
    <t>Total.1972</t>
  </si>
  <si>
    <t>Total.1973</t>
  </si>
  <si>
    <t>Total.1974</t>
  </si>
  <si>
    <t>Total.1975</t>
  </si>
  <si>
    <t>Total.1976</t>
  </si>
  <si>
    <t>Total.1977</t>
  </si>
  <si>
    <t>Total.1978</t>
  </si>
  <si>
    <t>Total.1979</t>
  </si>
  <si>
    <t>Total.1980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</si>
  <si>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</si>
  <si>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</si>
  <si>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</si>
  <si>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</si>
  <si>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</si>
  <si>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</si>
  <si>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</si>
  <si>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</si>
  <si>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</si>
  <si>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</si>
  <si>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</si>
  <si>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</si>
  <si>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</si>
  <si>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</si>
  <si>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</si>
  <si>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SBPE+RURAL</t>
  </si>
  <si>
    <t xml:space="preserve">     Até fev/86, valores expressos em Cruzeiros (CR$)</t>
  </si>
  <si>
    <t xml:space="preserve">     Até jan/89, valores expressos em Cruzados (CZ$)</t>
  </si>
  <si>
    <t xml:space="preserve">     Até mar/90, valores expressos em Cruzados Novos (NCZ$)</t>
  </si>
  <si>
    <t xml:space="preserve">     Até jul/93, valores expressos em Cruzeiros (CR$)</t>
  </si>
  <si>
    <t xml:space="preserve">     Até jun/94, valores expressos em Cruzeiros Reais (CR$)</t>
  </si>
  <si>
    <t xml:space="preserve">     A partir de jul/94, valores expressos em milhões de Reais (R$) </t>
  </si>
  <si>
    <t>POUPANÇA MENSAL - SBPE</t>
  </si>
  <si>
    <t>POUPANÇA MENSAL - RURAL</t>
  </si>
  <si>
    <t>EVOLUÇÃO DO SALDO - CAPTAÇÃO LÍQUIDA</t>
  </si>
  <si>
    <t xml:space="preserve">A partir de jul/94, valores em milhões de Reais (R$) </t>
  </si>
  <si>
    <t>SISTEMA BRASILEIRO DE POUPANÇA E EMPRÉSTIMO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</si>
  <si>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</si>
  <si>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</si>
  <si>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</si>
  <si>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</si>
  <si>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</si>
  <si>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</si>
  <si>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</si>
  <si>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</si>
  <si>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</si>
  <si>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</si>
  <si>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</si>
  <si>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</si>
  <si>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</si>
  <si>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PRIMEIRO MÊS</t>
  </si>
  <si>
    <t>ÚLTIMO MÊS</t>
  </si>
  <si>
    <t>Total.2009</t>
  </si>
  <si>
    <t>Total.2010</t>
  </si>
  <si>
    <t>Total.2011</t>
  </si>
  <si>
    <t>2009</t>
  </si>
  <si>
    <t>2010</t>
  </si>
  <si>
    <t>ABECIP - INTELIGÊNCIA DE MERCADO</t>
  </si>
  <si>
    <t>2011</t>
  </si>
  <si>
    <t>Total.2012</t>
  </si>
  <si>
    <t>Fonte: Abecip e Banco Central</t>
  </si>
  <si>
    <t>Fontes: Abecip e Banco Central</t>
  </si>
  <si>
    <t>2012</t>
  </si>
  <si>
    <t>Total.2013</t>
  </si>
  <si>
    <t xml:space="preserve">     Fonte: Abecip e Banco Central</t>
  </si>
  <si>
    <t>NCz$</t>
  </si>
  <si>
    <t>Cr$</t>
  </si>
  <si>
    <t>Cruzeiro</t>
  </si>
  <si>
    <t>Cruzado</t>
  </si>
  <si>
    <t>Milhões</t>
  </si>
  <si>
    <t>CZ$</t>
  </si>
  <si>
    <t>Cruzado Novo</t>
  </si>
  <si>
    <t>CR$</t>
  </si>
  <si>
    <t>Cruzeiro Real</t>
  </si>
  <si>
    <t>R$</t>
  </si>
  <si>
    <t>Real</t>
  </si>
  <si>
    <t>Total.2014</t>
  </si>
  <si>
    <t>2013</t>
  </si>
  <si>
    <t xml:space="preserve">     Até fev/86, valores em milhões Cruzeiros (CR$)</t>
  </si>
  <si>
    <t xml:space="preserve">     Até jan/89, valores em milhões Cruzados (CZ$)</t>
  </si>
  <si>
    <t xml:space="preserve">     Até mar/90, valores em milhões Cruzados Novos (NCZ$)</t>
  </si>
  <si>
    <t>Até jul/93, valores em milhões Cruzeiros (CR$)</t>
  </si>
  <si>
    <t>Até jun/94, valores em milhões Cruzeiros Reais (CR$)</t>
  </si>
  <si>
    <t>2014</t>
  </si>
  <si>
    <t>Total.2015</t>
  </si>
  <si>
    <t>Total.2016</t>
  </si>
  <si>
    <t>2015</t>
  </si>
  <si>
    <t>Total.2017</t>
  </si>
  <si>
    <t>2016</t>
  </si>
  <si>
    <t>2017</t>
  </si>
  <si>
    <t>Total.2018</t>
  </si>
  <si>
    <t>2018</t>
  </si>
  <si>
    <t>Total.2019</t>
  </si>
  <si>
    <t>2019</t>
  </si>
  <si>
    <t>Total.2020</t>
  </si>
  <si>
    <t>2020*</t>
  </si>
  <si>
    <t>Obs:    2020 valores até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</si>
</sst>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%;[Red]\(0.0%\)"/>
    <numFmt numFmtId="168" formatCode="0%;[Red]\(0%\)"/>
    <numFmt numFmtId="169" formatCode="_(* #,##0_);[Red]_(* \(#,##0\);_(* &quot;-&quot;??_);_(@_)"/>
    <numFmt numFmtId="170" formatCode="d/m"/>
    <numFmt numFmtId="171" formatCode="_(* #,##0.00_);[Red]_(* \(#,##0.00\);_(* &quot;-&quot;??_);_(@_)"/>
    <numFmt numFmtId="172" formatCode="#,##0_ ;[Red]\-#,##0\ "/>
    <numFmt numFmtId="173" formatCode="#,##0.00_ ;[Red]\-#,##0.00\ "/>
    <numFmt numFmtId="174" formatCode="[$-416]mmm\-yy;@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/>
      <name val="Arial"/>
      <family val="2"/>
    </font>
    <font>
      <sz val="10"/>
      <color theme="5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Courier"/>
    </font>
    <font>
      <sz val="9"/>
      <name val="Times New Roman"/>
      <family val="1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/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3" fontId="12" fillId="0" borderId="0" xfId="0" applyNumberFormat="1" applyFont="1"/>
    <xf numFmtId="0" fontId="13" fillId="0" borderId="0" xfId="0" quotePrefix="1" applyFont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3" xfId="0" quotePrefix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right"/>
    </xf>
    <xf numFmtId="4" fontId="14" fillId="3" borderId="3" xfId="0" applyNumberFormat="1" applyFont="1" applyFill="1" applyBorder="1" applyAlignment="1">
      <alignment horizontal="right"/>
    </xf>
    <xf numFmtId="3" fontId="14" fillId="3" borderId="0" xfId="0" applyNumberFormat="1" applyFont="1" applyFill="1" applyAlignment="1">
      <alignment horizontal="right"/>
    </xf>
    <xf numFmtId="17" fontId="12" fillId="0" borderId="0" xfId="0" applyNumberFormat="1" applyFont="1"/>
    <xf numFmtId="17" fontId="14" fillId="3" borderId="0" xfId="0" applyNumberFormat="1" applyFont="1" applyFill="1"/>
    <xf numFmtId="3" fontId="12" fillId="0" borderId="0" xfId="0" applyNumberFormat="1" applyFont="1" applyBorder="1" applyAlignment="1">
      <alignment horizontal="center"/>
    </xf>
    <xf numFmtId="14" fontId="12" fillId="0" borderId="0" xfId="0" quotePrefix="1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11" fillId="2" borderId="5" xfId="0" quotePrefix="1" applyFont="1" applyFill="1" applyBorder="1" applyAlignment="1">
      <alignment horizontal="center"/>
    </xf>
    <xf numFmtId="0" fontId="11" fillId="2" borderId="4" xfId="0" quotePrefix="1" applyFont="1" applyFill="1" applyBorder="1" applyAlignment="1">
      <alignment horizontal="center"/>
    </xf>
    <xf numFmtId="0" fontId="11" fillId="2" borderId="6" xfId="0" quotePrefix="1" applyFont="1" applyFill="1" applyBorder="1" applyAlignment="1">
      <alignment horizontal="center"/>
    </xf>
    <xf numFmtId="0" fontId="11" fillId="2" borderId="0" xfId="0" quotePrefix="1" applyFont="1" applyFill="1" applyBorder="1" applyAlignment="1">
      <alignment horizontal="center"/>
    </xf>
    <xf numFmtId="0" fontId="13" fillId="0" borderId="6" xfId="0" quotePrefix="1" applyFont="1" applyBorder="1" applyAlignment="1">
      <alignment horizontal="left" indent="1"/>
    </xf>
    <xf numFmtId="3" fontId="13" fillId="0" borderId="5" xfId="0" applyNumberFormat="1" applyFont="1" applyBorder="1"/>
    <xf numFmtId="10" fontId="13" fillId="0" borderId="3" xfId="0" applyNumberFormat="1" applyFont="1" applyBorder="1"/>
    <xf numFmtId="0" fontId="13" fillId="0" borderId="3" xfId="0" applyFont="1" applyBorder="1"/>
    <xf numFmtId="0" fontId="13" fillId="0" borderId="7" xfId="0" applyFont="1" applyBorder="1"/>
    <xf numFmtId="0" fontId="13" fillId="0" borderId="0" xfId="0" applyFont="1" applyBorder="1"/>
    <xf numFmtId="0" fontId="13" fillId="4" borderId="6" xfId="0" quotePrefix="1" applyFont="1" applyFill="1" applyBorder="1" applyAlignment="1">
      <alignment horizontal="left" indent="1"/>
    </xf>
    <xf numFmtId="3" fontId="13" fillId="4" borderId="5" xfId="0" applyNumberFormat="1" applyFont="1" applyFill="1" applyBorder="1"/>
    <xf numFmtId="10" fontId="13" fillId="4" borderId="3" xfId="3" applyNumberFormat="1" applyFont="1" applyFill="1" applyBorder="1"/>
    <xf numFmtId="165" fontId="13" fillId="4" borderId="3" xfId="4" applyNumberFormat="1" applyFont="1" applyFill="1" applyBorder="1"/>
    <xf numFmtId="167" fontId="13" fillId="4" borderId="7" xfId="3" applyNumberFormat="1" applyFont="1" applyFill="1" applyBorder="1"/>
    <xf numFmtId="167" fontId="13" fillId="4" borderId="0" xfId="3" applyNumberFormat="1" applyFont="1" applyFill="1" applyBorder="1"/>
    <xf numFmtId="10" fontId="13" fillId="0" borderId="3" xfId="3" applyNumberFormat="1" applyFont="1" applyBorder="1"/>
    <xf numFmtId="165" fontId="13" fillId="0" borderId="3" xfId="4" applyNumberFormat="1" applyFont="1" applyBorder="1"/>
    <xf numFmtId="167" fontId="13" fillId="0" borderId="7" xfId="3" applyNumberFormat="1" applyFont="1" applyBorder="1"/>
    <xf numFmtId="167" fontId="13" fillId="0" borderId="0" xfId="3" applyNumberFormat="1" applyFont="1" applyBorder="1"/>
    <xf numFmtId="38" fontId="16" fillId="0" borderId="3" xfId="4" applyNumberFormat="1" applyFont="1" applyBorder="1"/>
    <xf numFmtId="38" fontId="16" fillId="4" borderId="3" xfId="4" applyNumberFormat="1" applyFont="1" applyFill="1" applyBorder="1"/>
    <xf numFmtId="38" fontId="17" fillId="0" borderId="3" xfId="4" applyNumberFormat="1" applyFont="1" applyBorder="1"/>
    <xf numFmtId="10" fontId="13" fillId="0" borderId="0" xfId="3" applyNumberFormat="1" applyFont="1" applyBorder="1"/>
    <xf numFmtId="38" fontId="17" fillId="4" borderId="3" xfId="4" applyNumberFormat="1" applyFont="1" applyFill="1" applyBorder="1"/>
    <xf numFmtId="0" fontId="13" fillId="0" borderId="1" xfId="0" quotePrefix="1" applyFont="1" applyBorder="1" applyAlignment="1">
      <alignment horizontal="left"/>
    </xf>
    <xf numFmtId="0" fontId="13" fillId="0" borderId="1" xfId="0" applyFont="1" applyBorder="1"/>
    <xf numFmtId="0" fontId="13" fillId="0" borderId="0" xfId="0" quotePrefix="1" applyFont="1" applyBorder="1" applyAlignment="1">
      <alignment horizontal="left"/>
    </xf>
    <xf numFmtId="0" fontId="18" fillId="0" borderId="0" xfId="0" quotePrefix="1" applyFont="1" applyAlignment="1">
      <alignment horizontal="left"/>
    </xf>
    <xf numFmtId="0" fontId="19" fillId="0" borderId="0" xfId="0" applyFont="1"/>
    <xf numFmtId="0" fontId="13" fillId="0" borderId="0" xfId="0" applyFont="1" applyAlignment="1">
      <alignment horizontal="center"/>
    </xf>
    <xf numFmtId="0" fontId="15" fillId="0" borderId="0" xfId="0" quotePrefix="1" applyFont="1" applyBorder="1" applyAlignment="1">
      <alignment horizontal="left"/>
    </xf>
    <xf numFmtId="0" fontId="13" fillId="0" borderId="0" xfId="0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0" fillId="0" borderId="0" xfId="0" applyAlignment="1"/>
    <xf numFmtId="0" fontId="15" fillId="0" borderId="1" xfId="0" quotePrefix="1" applyFont="1" applyBorder="1" applyAlignment="1">
      <alignment horizontal="left"/>
    </xf>
    <xf numFmtId="0" fontId="20" fillId="0" borderId="0" xfId="0" applyFont="1" applyBorder="1"/>
    <xf numFmtId="3" fontId="20" fillId="0" borderId="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2" xfId="0" applyFont="1" applyBorder="1"/>
    <xf numFmtId="0" fontId="21" fillId="0" borderId="2" xfId="0" applyFont="1" applyBorder="1" applyAlignment="1">
      <alignment horizontal="left"/>
    </xf>
    <xf numFmtId="0" fontId="20" fillId="0" borderId="1" xfId="0" quotePrefix="1" applyFont="1" applyBorder="1" applyAlignment="1">
      <alignment horizontal="left"/>
    </xf>
    <xf numFmtId="0" fontId="20" fillId="0" borderId="0" xfId="0" quotePrefix="1" applyFont="1" applyBorder="1" applyAlignment="1">
      <alignment horizontal="left"/>
    </xf>
    <xf numFmtId="0" fontId="20" fillId="0" borderId="2" xfId="0" quotePrefix="1" applyFont="1" applyBorder="1" applyAlignment="1">
      <alignment horizontal="left"/>
    </xf>
    <xf numFmtId="0" fontId="0" fillId="0" borderId="0" xfId="0" applyProtection="1">
      <protection hidden="1"/>
    </xf>
    <xf numFmtId="0" fontId="20" fillId="0" borderId="0" xfId="0" quotePrefix="1" applyFont="1" applyAlignment="1" applyProtection="1">
      <alignment horizontal="left"/>
      <protection hidden="1"/>
    </xf>
    <xf numFmtId="0" fontId="4" fillId="0" borderId="8" xfId="0" applyFont="1" applyBorder="1" applyProtection="1">
      <protection hidden="1"/>
    </xf>
    <xf numFmtId="0" fontId="4" fillId="3" borderId="9" xfId="0" applyFont="1" applyFill="1" applyBorder="1" applyProtection="1">
      <protection hidden="1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6" fillId="0" borderId="0" xfId="0" quotePrefix="1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169" fontId="8" fillId="0" borderId="0" xfId="0" applyNumberFormat="1" applyFont="1" applyBorder="1" applyProtection="1">
      <protection hidden="1"/>
    </xf>
    <xf numFmtId="169" fontId="8" fillId="0" borderId="8" xfId="0" applyNumberFormat="1" applyFont="1" applyBorder="1" applyProtection="1">
      <protection hidden="1"/>
    </xf>
    <xf numFmtId="169" fontId="8" fillId="0" borderId="0" xfId="0" applyNumberFormat="1" applyFont="1" applyProtection="1">
      <protection hidden="1"/>
    </xf>
    <xf numFmtId="169" fontId="5" fillId="3" borderId="0" xfId="0" applyNumberFormat="1" applyFont="1" applyFill="1" applyProtection="1">
      <protection hidden="1"/>
    </xf>
    <xf numFmtId="169" fontId="5" fillId="3" borderId="9" xfId="0" applyNumberFormat="1" applyFont="1" applyFill="1" applyBorder="1" applyProtection="1">
      <protection hidden="1"/>
    </xf>
    <xf numFmtId="171" fontId="8" fillId="0" borderId="10" xfId="0" applyNumberFormat="1" applyFont="1" applyBorder="1" applyProtection="1">
      <protection hidden="1"/>
    </xf>
    <xf numFmtId="171" fontId="5" fillId="3" borderId="0" xfId="0" applyNumberFormat="1" applyFont="1" applyFill="1" applyProtection="1">
      <protection hidden="1"/>
    </xf>
    <xf numFmtId="0" fontId="13" fillId="3" borderId="4" xfId="0" applyFont="1" applyFill="1" applyBorder="1" applyAlignment="1" applyProtection="1">
      <alignment horizontal="center"/>
      <protection locked="0"/>
    </xf>
    <xf numFmtId="166" fontId="13" fillId="4" borderId="3" xfId="3" applyNumberFormat="1" applyFont="1" applyFill="1" applyBorder="1"/>
    <xf numFmtId="166" fontId="13" fillId="0" borderId="3" xfId="3" applyNumberFormat="1" applyFont="1" applyBorder="1"/>
    <xf numFmtId="168" fontId="13" fillId="4" borderId="7" xfId="3" applyNumberFormat="1" applyFont="1" applyFill="1" applyBorder="1"/>
    <xf numFmtId="168" fontId="13" fillId="0" borderId="7" xfId="3" applyNumberFormat="1" applyFont="1" applyBorder="1"/>
    <xf numFmtId="0" fontId="5" fillId="0" borderId="0" xfId="0" applyFont="1" applyBorder="1" applyProtection="1">
      <protection hidden="1"/>
    </xf>
    <xf numFmtId="169" fontId="12" fillId="0" borderId="0" xfId="0" applyNumberFormat="1" applyFont="1" applyFill="1" applyAlignment="1">
      <alignment horizontal="right"/>
    </xf>
    <xf numFmtId="41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 horizontal="right"/>
    </xf>
    <xf numFmtId="171" fontId="14" fillId="3" borderId="3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left"/>
    </xf>
    <xf numFmtId="165" fontId="12" fillId="0" borderId="0" xfId="4" applyNumberFormat="1" applyFont="1"/>
    <xf numFmtId="9" fontId="12" fillId="0" borderId="0" xfId="3" applyFont="1"/>
    <xf numFmtId="165" fontId="12" fillId="0" borderId="0" xfId="0" applyNumberFormat="1" applyFont="1"/>
    <xf numFmtId="0" fontId="23" fillId="0" borderId="0" xfId="0" applyFont="1"/>
    <xf numFmtId="3" fontId="12" fillId="5" borderId="0" xfId="0" applyNumberFormat="1" applyFont="1" applyFill="1"/>
    <xf numFmtId="0" fontId="12" fillId="5" borderId="0" xfId="0" applyFont="1" applyFill="1"/>
    <xf numFmtId="169" fontId="14" fillId="3" borderId="3" xfId="0" applyNumberFormat="1" applyFont="1" applyFill="1" applyBorder="1" applyAlignment="1">
      <alignment horizontal="right"/>
    </xf>
    <xf numFmtId="169" fontId="14" fillId="3" borderId="0" xfId="0" applyNumberFormat="1" applyFont="1" applyFill="1" applyAlignment="1">
      <alignment horizontal="right"/>
    </xf>
    <xf numFmtId="165" fontId="2" fillId="0" borderId="0" xfId="4" applyNumberFormat="1" applyFont="1" applyProtection="1">
      <protection hidden="1"/>
    </xf>
    <xf numFmtId="0" fontId="6" fillId="0" borderId="0" xfId="0" applyFont="1" applyFill="1" applyBorder="1" applyProtection="1">
      <protection locked="0"/>
    </xf>
    <xf numFmtId="0" fontId="20" fillId="0" borderId="0" xfId="0" quotePrefix="1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165" fontId="2" fillId="0" borderId="0" xfId="4" applyNumberFormat="1" applyFont="1" applyFill="1" applyProtection="1">
      <protection hidden="1"/>
    </xf>
    <xf numFmtId="0" fontId="15" fillId="0" borderId="0" xfId="0" quotePrefix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3" fontId="2" fillId="0" borderId="0" xfId="0" applyNumberFormat="1" applyFont="1" applyProtection="1">
      <protection hidden="1"/>
    </xf>
    <xf numFmtId="169" fontId="2" fillId="0" borderId="0" xfId="0" applyNumberFormat="1" applyFont="1" applyProtection="1">
      <protection hidden="1"/>
    </xf>
    <xf numFmtId="0" fontId="22" fillId="0" borderId="0" xfId="0" applyFont="1" applyFill="1" applyProtection="1">
      <protection locked="0"/>
    </xf>
    <xf numFmtId="3" fontId="22" fillId="0" borderId="0" xfId="0" applyNumberFormat="1" applyFont="1" applyFill="1" applyAlignment="1" applyProtection="1">
      <alignment horizontal="center"/>
      <protection locked="0"/>
    </xf>
    <xf numFmtId="10" fontId="12" fillId="0" borderId="0" xfId="3" applyNumberFormat="1" applyFont="1"/>
    <xf numFmtId="0" fontId="25" fillId="0" borderId="0" xfId="0" applyFont="1" applyFill="1" applyProtection="1">
      <protection locked="0"/>
    </xf>
    <xf numFmtId="170" fontId="25" fillId="0" borderId="0" xfId="2" applyNumberFormat="1" applyFont="1" applyFill="1" applyAlignment="1" applyProtection="1">
      <alignment horizontal="center"/>
      <protection locked="0"/>
    </xf>
    <xf numFmtId="14" fontId="25" fillId="0" borderId="0" xfId="2" applyNumberFormat="1" applyFont="1" applyFill="1" applyProtection="1">
      <protection locked="0"/>
    </xf>
    <xf numFmtId="0" fontId="25" fillId="0" borderId="0" xfId="2" applyFont="1" applyFill="1" applyProtection="1">
      <protection locked="0"/>
    </xf>
    <xf numFmtId="14" fontId="22" fillId="0" borderId="0" xfId="0" applyNumberFormat="1" applyFont="1" applyFill="1" applyProtection="1">
      <protection locked="0"/>
    </xf>
    <xf numFmtId="170" fontId="25" fillId="0" borderId="0" xfId="2" applyNumberFormat="1" applyFont="1" applyFill="1" applyAlignment="1" applyProtection="1">
      <alignment horizontal="left"/>
      <protection locked="0"/>
    </xf>
    <xf numFmtId="14" fontId="26" fillId="0" borderId="0" xfId="2" applyNumberFormat="1" applyFont="1" applyFill="1" applyBorder="1" applyAlignment="1" applyProtection="1">
      <alignment horizontal="left"/>
      <protection locked="0"/>
    </xf>
    <xf numFmtId="14" fontId="25" fillId="0" borderId="0" xfId="2" applyNumberFormat="1" applyFont="1" applyFill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0" fontId="13" fillId="0" borderId="0" xfId="0" quotePrefix="1" applyFont="1" applyBorder="1" applyAlignment="1">
      <alignment horizontal="left" indent="1"/>
    </xf>
    <xf numFmtId="3" fontId="13" fillId="0" borderId="0" xfId="0" applyNumberFormat="1" applyFont="1" applyBorder="1"/>
    <xf numFmtId="166" fontId="13" fillId="0" borderId="0" xfId="3" applyNumberFormat="1" applyFont="1" applyBorder="1"/>
    <xf numFmtId="38" fontId="17" fillId="0" borderId="0" xfId="4" applyNumberFormat="1" applyFont="1" applyBorder="1"/>
    <xf numFmtId="168" fontId="13" fillId="0" borderId="0" xfId="3" applyNumberFormat="1" applyFont="1" applyBorder="1"/>
    <xf numFmtId="0" fontId="1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17" fontId="14" fillId="0" borderId="0" xfId="0" applyNumberFormat="1" applyFont="1" applyAlignment="1">
      <alignment horizontal="left"/>
    </xf>
    <xf numFmtId="172" fontId="14" fillId="3" borderId="0" xfId="0" applyNumberFormat="1" applyFont="1" applyFill="1"/>
    <xf numFmtId="172" fontId="14" fillId="3" borderId="3" xfId="0" applyNumberFormat="1" applyFont="1" applyFill="1" applyBorder="1" applyAlignment="1">
      <alignment horizontal="right"/>
    </xf>
    <xf numFmtId="172" fontId="14" fillId="3" borderId="0" xfId="0" applyNumberFormat="1" applyFont="1" applyFill="1" applyAlignment="1">
      <alignment horizontal="right"/>
    </xf>
    <xf numFmtId="172" fontId="12" fillId="0" borderId="0" xfId="0" applyNumberFormat="1" applyFont="1" applyAlignment="1">
      <alignment horizontal="right"/>
    </xf>
    <xf numFmtId="172" fontId="12" fillId="0" borderId="0" xfId="0" applyNumberFormat="1" applyFont="1" applyFill="1" applyAlignment="1">
      <alignment horizontal="right"/>
    </xf>
    <xf numFmtId="172" fontId="15" fillId="0" borderId="0" xfId="0" quotePrefix="1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3" fontId="12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left"/>
    </xf>
    <xf numFmtId="173" fontId="12" fillId="0" borderId="0" xfId="0" applyNumberFormat="1" applyFont="1"/>
    <xf numFmtId="173" fontId="11" fillId="2" borderId="4" xfId="0" applyNumberFormat="1" applyFont="1" applyFill="1" applyBorder="1" applyAlignment="1">
      <alignment horizontal="center"/>
    </xf>
    <xf numFmtId="173" fontId="14" fillId="3" borderId="3" xfId="0" applyNumberFormat="1" applyFont="1" applyFill="1" applyBorder="1" applyAlignment="1">
      <alignment horizontal="right"/>
    </xf>
    <xf numFmtId="173" fontId="12" fillId="0" borderId="0" xfId="0" applyNumberFormat="1" applyFont="1" applyFill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3" fontId="12" fillId="0" borderId="0" xfId="0" applyNumberFormat="1" applyFont="1" applyFill="1" applyBorder="1" applyAlignment="1">
      <alignment horizontal="right"/>
    </xf>
    <xf numFmtId="173" fontId="20" fillId="0" borderId="1" xfId="0" applyNumberFormat="1" applyFont="1" applyBorder="1" applyAlignment="1">
      <alignment horizontal="left"/>
    </xf>
    <xf numFmtId="173" fontId="20" fillId="0" borderId="0" xfId="0" applyNumberFormat="1" applyFont="1" applyBorder="1" applyAlignment="1">
      <alignment horizontal="left"/>
    </xf>
    <xf numFmtId="173" fontId="21" fillId="0" borderId="2" xfId="0" applyNumberFormat="1" applyFont="1" applyBorder="1" applyAlignment="1">
      <alignment horizontal="left"/>
    </xf>
    <xf numFmtId="174" fontId="12" fillId="0" borderId="0" xfId="0" applyNumberFormat="1" applyFont="1"/>
    <xf numFmtId="0" fontId="27" fillId="0" borderId="0" xfId="0" applyFont="1" applyFill="1" applyProtection="1">
      <protection locked="0"/>
    </xf>
    <xf numFmtId="0" fontId="27" fillId="0" borderId="0" xfId="0" applyFont="1" applyProtection="1">
      <protection locked="0"/>
    </xf>
    <xf numFmtId="0" fontId="27" fillId="0" borderId="0" xfId="0" applyFont="1" applyProtection="1">
      <protection hidden="1"/>
    </xf>
    <xf numFmtId="165" fontId="27" fillId="0" borderId="0" xfId="4" applyNumberFormat="1" applyFont="1" applyProtection="1">
      <protection hidden="1"/>
    </xf>
    <xf numFmtId="0" fontId="28" fillId="0" borderId="0" xfId="0" applyFont="1" applyProtection="1">
      <protection locked="0"/>
    </xf>
    <xf numFmtId="170" fontId="1" fillId="0" borderId="0" xfId="2" applyNumberFormat="1" applyFont="1" applyFill="1" applyAlignment="1" applyProtection="1">
      <alignment horizontal="center"/>
      <protection locked="0"/>
    </xf>
    <xf numFmtId="14" fontId="1" fillId="0" borderId="0" xfId="2" applyNumberFormat="1" applyFont="1" applyFill="1" applyProtection="1">
      <protection locked="0"/>
    </xf>
    <xf numFmtId="0" fontId="1" fillId="0" borderId="0" xfId="2" applyFont="1" applyFill="1" applyProtection="1">
      <protection locked="0"/>
    </xf>
    <xf numFmtId="170" fontId="1" fillId="0" borderId="0" xfId="2" applyNumberFormat="1" applyFont="1" applyFill="1" applyAlignment="1" applyProtection="1">
      <alignment horizontal="left"/>
      <protection locked="0"/>
    </xf>
    <xf numFmtId="14" fontId="1" fillId="0" borderId="0" xfId="2" applyNumberFormat="1" applyFont="1" applyFill="1" applyAlignment="1" applyProtection="1">
      <alignment horizontal="left"/>
      <protection locked="0"/>
    </xf>
    <xf numFmtId="9" fontId="0" fillId="0" borderId="0" xfId="3" applyFont="1"/>
    <xf numFmtId="38" fontId="30" fillId="6" borderId="0" xfId="6" applyNumberFormat="1" applyFont="1" applyFill="1" applyBorder="1"/>
    <xf numFmtId="3" fontId="1" fillId="0" borderId="0" xfId="0" applyNumberFormat="1" applyFont="1" applyFill="1" applyProtection="1">
      <protection locked="0"/>
    </xf>
    <xf numFmtId="0" fontId="1" fillId="0" borderId="0" xfId="0" applyFont="1" applyProtection="1"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2" xfId="0" quotePrefix="1" applyFont="1" applyFill="1" applyBorder="1" applyAlignment="1">
      <alignment horizontal="center"/>
    </xf>
    <xf numFmtId="0" fontId="11" fillId="2" borderId="16" xfId="0" quotePrefix="1" applyFont="1" applyFill="1" applyBorder="1" applyAlignment="1">
      <alignment horizontal="center"/>
    </xf>
    <xf numFmtId="0" fontId="11" fillId="2" borderId="17" xfId="0" quotePrefix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5" xr:uid="{00000000-0005-0000-0000-000031000000}"/>
    <cellStyle name="Normal_cub_geral" xfId="2" xr:uid="{00000000-0005-0000-0000-000002000000}"/>
    <cellStyle name="Porcentagem" xfId="3" builtinId="5"/>
    <cellStyle name="Vírgula" xfId="4" builtinId="3"/>
    <cellStyle name="Vírgula 2" xfId="6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6321366839409072E-2"/>
          <c:y val="0.29450579723521936"/>
          <c:w val="0.94572870727923064"/>
          <c:h val="0.51593504824520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SBPE!$O$5</c:f>
              <c:strCache>
                <c:ptCount val="1"/>
                <c:pt idx="0">
                  <c:v>SBPE - Saldo de Poupança (R$ Milhões) em 2020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03-4438-A056-2A2C4FA709C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03-4438-A056-2A2C4FA709C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SBPE!$A$11:$A$22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SBPE!$G$11:$G$22</c:f>
              <c:numCache>
                <c:formatCode>_(* #,##0_);[Red]_(* \(#,##0\);_(* "-"??_);_(@_)</c:formatCode>
                <c:ptCount val="12"/>
                <c:pt idx="0">
                  <c:v>649645.04</c:v>
                </c:pt>
                <c:pt idx="1">
                  <c:v>649229.63</c:v>
                </c:pt>
                <c:pt idx="2">
                  <c:v>659283.46900000004</c:v>
                </c:pt>
                <c:pt idx="3">
                  <c:v>685675.70200000005</c:v>
                </c:pt>
                <c:pt idx="4">
                  <c:v>717690.89899999998</c:v>
                </c:pt>
                <c:pt idx="5">
                  <c:v>733706.66099999996</c:v>
                </c:pt>
                <c:pt idx="6">
                  <c:v>757535.89800000004</c:v>
                </c:pt>
                <c:pt idx="7">
                  <c:v>766816.29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3-4438-A056-2A2C4FA70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6910480"/>
        <c:axId val="196911040"/>
      </c:barChart>
      <c:catAx>
        <c:axId val="19691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911040"/>
        <c:crosses val="autoZero"/>
        <c:auto val="1"/>
        <c:lblAlgn val="ctr"/>
        <c:lblOffset val="600"/>
        <c:noMultiLvlLbl val="0"/>
      </c:catAx>
      <c:valAx>
        <c:axId val="196911040"/>
        <c:scaling>
          <c:orientation val="minMax"/>
          <c:min val="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_(* #,##0_);[Red]_(* \(#,##0\);_(* &quot;-&quot;??_);_(@_)" sourceLinked="1"/>
        <c:majorTickMark val="out"/>
        <c:minorTickMark val="none"/>
        <c:tickLblPos val="nextTo"/>
        <c:crossAx val="1969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122963280580027E-2"/>
          <c:y val="0.28077646741407097"/>
          <c:w val="0.94405336399781714"/>
          <c:h val="0.46815770772335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SBPE!$O$6</c:f>
              <c:strCache>
                <c:ptCount val="1"/>
                <c:pt idx="0">
                  <c:v>SBPE - Captação Líquida Acumulada no Ano (R$ Milhões) 2020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74-44CD-ADB9-54AE8A5B324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74-44CD-ADB9-54AE8A5B3244}"/>
              </c:ext>
            </c:extLst>
          </c:dPt>
          <c:dLbls>
            <c:numFmt formatCode="_(* #,##0_);[Red]_(* \(#,##0\);_(* &quot;-&quot;??_);_(@_)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SBPE!$A$11:$A$22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SBPE!$L$29:$L$40</c:f>
              <c:numCache>
                <c:formatCode>#,##0</c:formatCode>
                <c:ptCount val="12"/>
                <c:pt idx="0">
                  <c:v>-9835.1449999999895</c:v>
                </c:pt>
                <c:pt idx="1">
                  <c:v>-12105.724999999977</c:v>
                </c:pt>
                <c:pt idx="2">
                  <c:v>-3856.7549999999756</c:v>
                </c:pt>
                <c:pt idx="3">
                  <c:v>20757.760000000038</c:v>
                </c:pt>
                <c:pt idx="4">
                  <c:v>51058.921000000031</c:v>
                </c:pt>
                <c:pt idx="5">
                  <c:v>65494.248000000051</c:v>
                </c:pt>
                <c:pt idx="6">
                  <c:v>87857.435000000056</c:v>
                </c:pt>
                <c:pt idx="7">
                  <c:v>95805.390000000043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4-44CD-ADB9-54AE8A5B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7899504"/>
        <c:axId val="197900064"/>
      </c:barChart>
      <c:catAx>
        <c:axId val="19789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7900064"/>
        <c:crosses val="autoZero"/>
        <c:auto val="1"/>
        <c:lblAlgn val="ctr"/>
        <c:lblOffset val="1000"/>
        <c:noMultiLvlLbl val="0"/>
      </c:catAx>
      <c:valAx>
        <c:axId val="197900064"/>
        <c:scaling>
          <c:orientation val="minMax"/>
          <c:min val="-6000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crossAx val="197899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SALDO DE POUPANÇA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Total_Anual!$A$13:$A$35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2020*</c:v>
                </c:pt>
              </c:strCache>
            </c:strRef>
          </c:cat>
          <c:val>
            <c:numRef>
              <c:f>Total_Anual!$B$13:$B$35</c:f>
              <c:numCache>
                <c:formatCode>#,##0</c:formatCode>
                <c:ptCount val="23"/>
                <c:pt idx="0">
                  <c:v>88538.349000000002</c:v>
                </c:pt>
                <c:pt idx="1">
                  <c:v>90437.74</c:v>
                </c:pt>
                <c:pt idx="2">
                  <c:v>91430.45</c:v>
                </c:pt>
                <c:pt idx="3">
                  <c:v>97146.25</c:v>
                </c:pt>
                <c:pt idx="4">
                  <c:v>112423.444</c:v>
                </c:pt>
                <c:pt idx="5">
                  <c:v>115258.02099999999</c:v>
                </c:pt>
                <c:pt idx="6">
                  <c:v>126853.217</c:v>
                </c:pt>
                <c:pt idx="7">
                  <c:v>135411.68100000001</c:v>
                </c:pt>
                <c:pt idx="8">
                  <c:v>150412.546</c:v>
                </c:pt>
                <c:pt idx="9">
                  <c:v>187827.264</c:v>
                </c:pt>
                <c:pt idx="10">
                  <c:v>215400.28200000001</c:v>
                </c:pt>
                <c:pt idx="11">
                  <c:v>253604.98</c:v>
                </c:pt>
                <c:pt idx="12">
                  <c:v>299878.217</c:v>
                </c:pt>
                <c:pt idx="13">
                  <c:v>330569.272</c:v>
                </c:pt>
                <c:pt idx="14">
                  <c:v>388641.66200000001</c:v>
                </c:pt>
                <c:pt idx="15">
                  <c:v>466788.64399999997</c:v>
                </c:pt>
                <c:pt idx="16">
                  <c:v>522343.50099999999</c:v>
                </c:pt>
                <c:pt idx="17">
                  <c:v>509223.04399999999</c:v>
                </c:pt>
                <c:pt idx="18">
                  <c:v>515955.43</c:v>
                </c:pt>
                <c:pt idx="19">
                  <c:v>563741.67500000005</c:v>
                </c:pt>
                <c:pt idx="20">
                  <c:v>618146.06299999997</c:v>
                </c:pt>
                <c:pt idx="21">
                  <c:v>657531.44200000004</c:v>
                </c:pt>
                <c:pt idx="22">
                  <c:v>766816.29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7B-4D10-87E6-8AC16DA28FD5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Total_Anual!$A$13:$A$35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2020*</c:v>
                </c:pt>
              </c:strCache>
            </c:strRef>
          </c:cat>
          <c:val>
            <c:numRef>
              <c:f>Total_Anual!$F$13:$F$35</c:f>
              <c:numCache>
                <c:formatCode>#,##0</c:formatCode>
                <c:ptCount val="23"/>
                <c:pt idx="0">
                  <c:v>18883.240000000002</c:v>
                </c:pt>
                <c:pt idx="1">
                  <c:v>20294.123</c:v>
                </c:pt>
                <c:pt idx="2">
                  <c:v>20310.891</c:v>
                </c:pt>
                <c:pt idx="3">
                  <c:v>21552.598000000002</c:v>
                </c:pt>
                <c:pt idx="4">
                  <c:v>27219.067999999999</c:v>
                </c:pt>
                <c:pt idx="5">
                  <c:v>27799.405999999999</c:v>
                </c:pt>
                <c:pt idx="6">
                  <c:v>31413.353999999999</c:v>
                </c:pt>
                <c:pt idx="7">
                  <c:v>33322.74</c:v>
                </c:pt>
                <c:pt idx="8">
                  <c:v>37523.192999999999</c:v>
                </c:pt>
                <c:pt idx="9">
                  <c:v>47434.387999999999</c:v>
                </c:pt>
                <c:pt idx="10">
                  <c:v>54995.457999999999</c:v>
                </c:pt>
                <c:pt idx="11">
                  <c:v>65477.998</c:v>
                </c:pt>
                <c:pt idx="12">
                  <c:v>78920.573999999993</c:v>
                </c:pt>
                <c:pt idx="13">
                  <c:v>89439.721999999994</c:v>
                </c:pt>
                <c:pt idx="14">
                  <c:v>107660.772</c:v>
                </c:pt>
                <c:pt idx="15">
                  <c:v>131154.416</c:v>
                </c:pt>
                <c:pt idx="16">
                  <c:v>140383.609</c:v>
                </c:pt>
                <c:pt idx="17">
                  <c:v>147366.72700000001</c:v>
                </c:pt>
                <c:pt idx="18">
                  <c:v>149036.99400000001</c:v>
                </c:pt>
                <c:pt idx="19">
                  <c:v>160861.77100000001</c:v>
                </c:pt>
                <c:pt idx="20">
                  <c:v>179134.93900000001</c:v>
                </c:pt>
                <c:pt idx="21">
                  <c:v>187933.103</c:v>
                </c:pt>
                <c:pt idx="22">
                  <c:v>219963.571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7B-4D10-87E6-8AC16DA28FD5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Total_Anual!$A$13:$A$35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2020*</c:v>
                </c:pt>
              </c:strCache>
            </c:strRef>
          </c:cat>
          <c:val>
            <c:numRef>
              <c:f>Total_Anual!$J$13:$J$35</c:f>
              <c:numCache>
                <c:formatCode>#,##0</c:formatCode>
                <c:ptCount val="23"/>
                <c:pt idx="0">
                  <c:v>107421.58900000001</c:v>
                </c:pt>
                <c:pt idx="1">
                  <c:v>110731.86300000001</c:v>
                </c:pt>
                <c:pt idx="2">
                  <c:v>111741.341</c:v>
                </c:pt>
                <c:pt idx="3">
                  <c:v>118698.848</c:v>
                </c:pt>
                <c:pt idx="4">
                  <c:v>139642.51199999999</c:v>
                </c:pt>
                <c:pt idx="5">
                  <c:v>143057.427</c:v>
                </c:pt>
                <c:pt idx="6">
                  <c:v>158266.571</c:v>
                </c:pt>
                <c:pt idx="7">
                  <c:v>168734.421</c:v>
                </c:pt>
                <c:pt idx="8">
                  <c:v>187935.739</c:v>
                </c:pt>
                <c:pt idx="9">
                  <c:v>235261.652</c:v>
                </c:pt>
                <c:pt idx="10">
                  <c:v>270395.74</c:v>
                </c:pt>
                <c:pt idx="11">
                  <c:v>319082.978</c:v>
                </c:pt>
                <c:pt idx="12">
                  <c:v>378798.79099999997</c:v>
                </c:pt>
                <c:pt idx="13">
                  <c:v>420008.99400000001</c:v>
                </c:pt>
                <c:pt idx="14">
                  <c:v>496302.43400000001</c:v>
                </c:pt>
                <c:pt idx="15">
                  <c:v>597943.05999999994</c:v>
                </c:pt>
                <c:pt idx="16">
                  <c:v>662727.11</c:v>
                </c:pt>
                <c:pt idx="17">
                  <c:v>656589.77099999995</c:v>
                </c:pt>
                <c:pt idx="18">
                  <c:v>664992.424</c:v>
                </c:pt>
                <c:pt idx="19">
                  <c:v>724603.446</c:v>
                </c:pt>
                <c:pt idx="20">
                  <c:v>797281.00199999998</c:v>
                </c:pt>
                <c:pt idx="21">
                  <c:v>845464.54500000004</c:v>
                </c:pt>
                <c:pt idx="22">
                  <c:v>986779.86100000003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7B-4D10-87E6-8AC16DA28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76976"/>
        <c:axId val="108777536"/>
      </c:lineChart>
      <c:catAx>
        <c:axId val="10877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777536"/>
        <c:crosses val="autoZero"/>
        <c:auto val="1"/>
        <c:lblAlgn val="ctr"/>
        <c:lblOffset val="100"/>
        <c:noMultiLvlLbl val="0"/>
      </c:catAx>
      <c:valAx>
        <c:axId val="108777536"/>
        <c:scaling>
          <c:orientation val="minMax"/>
          <c:min val="0"/>
        </c:scaling>
        <c:delete val="0"/>
        <c:axPos val="l"/>
        <c:majorGridlines>
          <c:spPr>
            <a:ln>
              <a:prstDash val="dashDot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7769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9737297200507"/>
          <c:y val="0.91808723651811575"/>
          <c:w val="0.4937644015323937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CAPTAÇÃO LÍQUIDA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layout>
        <c:manualLayout>
          <c:xMode val="edge"/>
          <c:yMode val="edge"/>
          <c:x val="0.37942682579042258"/>
          <c:y val="1.29528911978786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7147912243454"/>
          <c:y val="0.13477000573580403"/>
          <c:w val="0.84256829440905878"/>
          <c:h val="0.64817382363287068"/>
        </c:manualLayout>
      </c:layout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Total_Anual!$A$13:$A$35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2020*</c:v>
                </c:pt>
              </c:strCache>
            </c:strRef>
          </c:cat>
          <c:val>
            <c:numRef>
              <c:f>Total_Anual!$D$13:$D$35</c:f>
              <c:numCache>
                <c:formatCode>#,##0_);[Red]\(#,##0\)</c:formatCode>
                <c:ptCount val="23"/>
                <c:pt idx="0">
                  <c:v>-2301.5</c:v>
                </c:pt>
                <c:pt idx="1">
                  <c:v>-8740.2000000000007</c:v>
                </c:pt>
                <c:pt idx="2">
                  <c:v>-6355.9639999999999</c:v>
                </c:pt>
                <c:pt idx="3">
                  <c:v>-1319.3810000000001</c:v>
                </c:pt>
                <c:pt idx="4">
                  <c:v>7008.2820000000002</c:v>
                </c:pt>
                <c:pt idx="5">
                  <c:v>-8178.8860000000004</c:v>
                </c:pt>
                <c:pt idx="6">
                  <c:v>3057.299</c:v>
                </c:pt>
                <c:pt idx="7">
                  <c:v>-1869.5310000000022</c:v>
                </c:pt>
                <c:pt idx="8">
                  <c:v>4963.7360000000008</c:v>
                </c:pt>
                <c:pt idx="9">
                  <c:v>26493.599999999999</c:v>
                </c:pt>
                <c:pt idx="10">
                  <c:v>13900.71</c:v>
                </c:pt>
                <c:pt idx="11">
                  <c:v>23813.032999999996</c:v>
                </c:pt>
                <c:pt idx="12">
                  <c:v>29513.471999999998</c:v>
                </c:pt>
                <c:pt idx="13">
                  <c:v>9382.9320000000153</c:v>
                </c:pt>
                <c:pt idx="14">
                  <c:v>37239.574999999953</c:v>
                </c:pt>
                <c:pt idx="15">
                  <c:v>54280.749000000025</c:v>
                </c:pt>
                <c:pt idx="16">
                  <c:v>23758.558000000005</c:v>
                </c:pt>
                <c:pt idx="17">
                  <c:v>-50149.362999999954</c:v>
                </c:pt>
                <c:pt idx="18">
                  <c:v>-31222.545999999973</c:v>
                </c:pt>
                <c:pt idx="19">
                  <c:v>14774.799000000057</c:v>
                </c:pt>
                <c:pt idx="20">
                  <c:v>27791.076000000005</c:v>
                </c:pt>
                <c:pt idx="21">
                  <c:v>12389.57500000007</c:v>
                </c:pt>
                <c:pt idx="22">
                  <c:v>95805.390000000043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0E-4F44-B90D-688DCB37BA3C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Total_Anual!$A$13:$A$35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2020*</c:v>
                </c:pt>
              </c:strCache>
            </c:strRef>
          </c:cat>
          <c:val>
            <c:numRef>
              <c:f>Total_Anual!$H$13:$H$35</c:f>
              <c:numCache>
                <c:formatCode>#,##0_);[Red]\(#,##0\)</c:formatCode>
                <c:ptCount val="23"/>
                <c:pt idx="0">
                  <c:v>-361.22800000000001</c:v>
                </c:pt>
                <c:pt idx="1">
                  <c:v>-858.50800000000004</c:v>
                </c:pt>
                <c:pt idx="2">
                  <c:v>-1615.4570000000001</c:v>
                </c:pt>
                <c:pt idx="3">
                  <c:v>-412.96300000000002</c:v>
                </c:pt>
                <c:pt idx="4">
                  <c:v>3649.9720000000002</c:v>
                </c:pt>
                <c:pt idx="5">
                  <c:v>-2213.8679999999999</c:v>
                </c:pt>
                <c:pt idx="6">
                  <c:v>1425.1469999999999</c:v>
                </c:pt>
                <c:pt idx="7">
                  <c:v>-826.94799999999998</c:v>
                </c:pt>
                <c:pt idx="8">
                  <c:v>1532.9190000000001</c:v>
                </c:pt>
                <c:pt idx="9">
                  <c:v>6927.3579999999993</c:v>
                </c:pt>
                <c:pt idx="10">
                  <c:v>4187.0429999999997</c:v>
                </c:pt>
                <c:pt idx="11">
                  <c:v>5752.6509999999998</c:v>
                </c:pt>
                <c:pt idx="12">
                  <c:v>9213.3009999999958</c:v>
                </c:pt>
                <c:pt idx="13">
                  <c:v>4844.6569999999956</c:v>
                </c:pt>
                <c:pt idx="14">
                  <c:v>12479.983999999997</c:v>
                </c:pt>
                <c:pt idx="15">
                  <c:v>16766.843000000001</c:v>
                </c:pt>
                <c:pt idx="16">
                  <c:v>275.4230000000025</c:v>
                </c:pt>
                <c:pt idx="17">
                  <c:v>-3418.5039999999972</c:v>
                </c:pt>
                <c:pt idx="18">
                  <c:v>-9479.2069999999912</c:v>
                </c:pt>
                <c:pt idx="19">
                  <c:v>2351.9029999999948</c:v>
                </c:pt>
                <c:pt idx="20">
                  <c:v>10469.293000000012</c:v>
                </c:pt>
                <c:pt idx="21">
                  <c:v>937.49699999999939</c:v>
                </c:pt>
                <c:pt idx="22">
                  <c:v>28176.418000000005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0E-4F44-B90D-688DCB37BA3C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Total_Anual!$A$13:$A$35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2020*</c:v>
                </c:pt>
              </c:strCache>
            </c:strRef>
          </c:cat>
          <c:val>
            <c:numRef>
              <c:f>Total_Anual!$L$13:$L$35</c:f>
              <c:numCache>
                <c:formatCode>#,##0_);[Red]\(#,##0\)</c:formatCode>
                <c:ptCount val="23"/>
                <c:pt idx="0">
                  <c:v>-2662.7280000000001</c:v>
                </c:pt>
                <c:pt idx="1">
                  <c:v>-9598.7080000000005</c:v>
                </c:pt>
                <c:pt idx="2">
                  <c:v>-7971.4210000000003</c:v>
                </c:pt>
                <c:pt idx="3">
                  <c:v>-1732.3440000000001</c:v>
                </c:pt>
                <c:pt idx="4">
                  <c:v>10658.254000000001</c:v>
                </c:pt>
                <c:pt idx="5">
                  <c:v>-10392.754000000001</c:v>
                </c:pt>
                <c:pt idx="6">
                  <c:v>4482.4459999999999</c:v>
                </c:pt>
                <c:pt idx="7">
                  <c:v>-2696.4790000000021</c:v>
                </c:pt>
                <c:pt idx="8">
                  <c:v>6496.6550000000007</c:v>
                </c:pt>
                <c:pt idx="9">
                  <c:v>33420.957999999999</c:v>
                </c:pt>
                <c:pt idx="10">
                  <c:v>18087.752999999997</c:v>
                </c:pt>
                <c:pt idx="11">
                  <c:v>29565.683999999994</c:v>
                </c:pt>
                <c:pt idx="12">
                  <c:v>38726.772999999994</c:v>
                </c:pt>
                <c:pt idx="13">
                  <c:v>14227.589000000011</c:v>
                </c:pt>
                <c:pt idx="14">
                  <c:v>49719.55899999995</c:v>
                </c:pt>
                <c:pt idx="15">
                  <c:v>71047.592000000033</c:v>
                </c:pt>
                <c:pt idx="16">
                  <c:v>24033.981000000007</c:v>
                </c:pt>
                <c:pt idx="17">
                  <c:v>-53567.866999999955</c:v>
                </c:pt>
                <c:pt idx="18">
                  <c:v>-40701.752999999968</c:v>
                </c:pt>
                <c:pt idx="19">
                  <c:v>17126.702000000052</c:v>
                </c:pt>
                <c:pt idx="20">
                  <c:v>38260.369000000021</c:v>
                </c:pt>
                <c:pt idx="21">
                  <c:v>13327.072000000069</c:v>
                </c:pt>
                <c:pt idx="22">
                  <c:v>123981.80800000005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0E-4F44-B90D-688DCB37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77248"/>
        <c:axId val="198577808"/>
      </c:lineChart>
      <c:catAx>
        <c:axId val="1985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577808"/>
        <c:crosses val="autoZero"/>
        <c:auto val="1"/>
        <c:lblAlgn val="ctr"/>
        <c:lblOffset val="100"/>
        <c:noMultiLvlLbl val="0"/>
      </c:catAx>
      <c:valAx>
        <c:axId val="198577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Dot"/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577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88899522918754"/>
          <c:y val="0.91808723651811575"/>
          <c:w val="0.48515286417927039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O$3" fmlaRange="$D$51:$D$76" noThreeD="1" sel="26" val="2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542925</xdr:colOff>
      <xdr:row>3</xdr:row>
      <xdr:rowOff>142875</xdr:rowOff>
    </xdr:to>
    <xdr:pic>
      <xdr:nvPicPr>
        <xdr:cNvPr id="3574693" name="Imagem 2" descr="LOGOABECIP.BMP">
          <a:extLst>
            <a:ext uri="{FF2B5EF4-FFF2-40B4-BE49-F238E27FC236}">
              <a16:creationId xmlns:a16="http://schemas.microsoft.com/office/drawing/2014/main" id="{00000000-0008-0000-0000-0000A58B3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447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24</xdr:row>
      <xdr:rowOff>152400</xdr:rowOff>
    </xdr:from>
    <xdr:to>
      <xdr:col>6</xdr:col>
      <xdr:colOff>704290</xdr:colOff>
      <xdr:row>47</xdr:row>
      <xdr:rowOff>19050</xdr:rowOff>
    </xdr:to>
    <xdr:graphicFrame macro="">
      <xdr:nvGraphicFramePr>
        <xdr:cNvPr id="3574694" name="Gráfico 1">
          <a:extLst>
            <a:ext uri="{FF2B5EF4-FFF2-40B4-BE49-F238E27FC236}">
              <a16:creationId xmlns:a16="http://schemas.microsoft.com/office/drawing/2014/main" id="{00000000-0008-0000-0000-0000A6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713815</xdr:colOff>
      <xdr:row>24</xdr:row>
      <xdr:rowOff>152400</xdr:rowOff>
    </xdr:from>
    <xdr:to>
      <xdr:col>14</xdr:col>
      <xdr:colOff>558613</xdr:colOff>
      <xdr:row>47</xdr:row>
      <xdr:rowOff>19050</xdr:rowOff>
    </xdr:to>
    <xdr:graphicFrame macro="">
      <xdr:nvGraphicFramePr>
        <xdr:cNvPr id="3574695" name="Gráfico 2">
          <a:extLst>
            <a:ext uri="{FF2B5EF4-FFF2-40B4-BE49-F238E27FC236}">
              <a16:creationId xmlns:a16="http://schemas.microsoft.com/office/drawing/2014/main" id="{00000000-0008-0000-0000-0000A7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587188</xdr:colOff>
      <xdr:row>5</xdr:row>
      <xdr:rowOff>38100</xdr:rowOff>
    </xdr:from>
    <xdr:to>
      <xdr:col>11</xdr:col>
      <xdr:colOff>620245</xdr:colOff>
      <xdr:row>8</xdr:row>
      <xdr:rowOff>133350</xdr:rowOff>
    </xdr:to>
    <xdr:sp macro="" textlink="">
      <xdr:nvSpPr>
        <xdr:cNvPr id="3574696" name="Seta para a direita 4">
          <a:extLst>
            <a:ext uri="{FF2B5EF4-FFF2-40B4-BE49-F238E27FC236}">
              <a16:creationId xmlns:a16="http://schemas.microsoft.com/office/drawing/2014/main" id="{00000000-0008-0000-0000-0000A88B3600}"/>
            </a:ext>
          </a:extLst>
        </xdr:cNvPr>
        <xdr:cNvSpPr>
          <a:spLocks noChangeArrowheads="1"/>
        </xdr:cNvSpPr>
      </xdr:nvSpPr>
      <xdr:spPr bwMode="auto">
        <a:xfrm>
          <a:off x="7258050" y="847725"/>
          <a:ext cx="638175" cy="609600"/>
        </a:xfrm>
        <a:prstGeom prst="rightArrow">
          <a:avLst>
            <a:gd name="adj1" fmla="val 50000"/>
            <a:gd name="adj2" fmla="val 50822"/>
          </a:avLst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8</xdr:col>
      <xdr:colOff>670264</xdr:colOff>
      <xdr:row>4</xdr:row>
      <xdr:rowOff>142879</xdr:rowOff>
    </xdr:from>
    <xdr:to>
      <xdr:col>10</xdr:col>
      <xdr:colOff>553056</xdr:colOff>
      <xdr:row>8</xdr:row>
      <xdr:rowOff>178597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76950" y="809629"/>
          <a:ext cx="1262049" cy="726281"/>
        </a:xfrm>
        <a:prstGeom prst="rect">
          <a:avLst/>
        </a:prstGeom>
        <a:solidFill>
          <a:schemeClr val="lt1"/>
        </a:solidFill>
        <a:ln w="19050" cmpd="sng">
          <a:solidFill>
            <a:schemeClr val="tx2">
              <a:lumMod val="40000"/>
              <a:lumOff val="6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200" b="1"/>
            <a:t>Selecione o período desejado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5</xdr:row>
          <xdr:rowOff>28575</xdr:rowOff>
        </xdr:from>
        <xdr:to>
          <xdr:col>13</xdr:col>
          <xdr:colOff>381000</xdr:colOff>
          <xdr:row>8</xdr:row>
          <xdr:rowOff>161925</xdr:rowOff>
        </xdr:to>
        <xdr:sp macro="" textlink="">
          <xdr:nvSpPr>
            <xdr:cNvPr id="2640899" name="List Box 3" hidden="1">
              <a:extLst>
                <a:ext uri="{63B3BB69-23CF-44E3-9099-C40C66FF867C}">
                  <a14:compatExt spid="_x0000_s2640899"/>
                </a:ext>
                <a:ext uri="{FF2B5EF4-FFF2-40B4-BE49-F238E27FC236}">
                  <a16:creationId xmlns:a16="http://schemas.microsoft.com/office/drawing/2014/main" id="{00000000-0008-0000-0000-0000034C2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0</xdr:col>
      <xdr:colOff>542925</xdr:colOff>
      <xdr:row>3</xdr:row>
      <xdr:rowOff>57150</xdr:rowOff>
    </xdr:to>
    <xdr:pic>
      <xdr:nvPicPr>
        <xdr:cNvPr id="2558740" name="Imagem 2" descr="LOGOABECIP.BMP">
          <a:extLst>
            <a:ext uri="{FF2B5EF4-FFF2-40B4-BE49-F238E27FC236}">
              <a16:creationId xmlns:a16="http://schemas.microsoft.com/office/drawing/2014/main" id="{00000000-0008-0000-0100-0000140B2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0</xdr:col>
      <xdr:colOff>552450</xdr:colOff>
      <xdr:row>3</xdr:row>
      <xdr:rowOff>66675</xdr:rowOff>
    </xdr:to>
    <xdr:pic>
      <xdr:nvPicPr>
        <xdr:cNvPr id="58009" name="Imagem 2" descr="LOGOABECIP.BMP">
          <a:extLst>
            <a:ext uri="{FF2B5EF4-FFF2-40B4-BE49-F238E27FC236}">
              <a16:creationId xmlns:a16="http://schemas.microsoft.com/office/drawing/2014/main" id="{00000000-0008-0000-0200-000099E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38</xdr:row>
      <xdr:rowOff>38100</xdr:rowOff>
    </xdr:from>
    <xdr:to>
      <xdr:col>6</xdr:col>
      <xdr:colOff>504825</xdr:colOff>
      <xdr:row>57</xdr:row>
      <xdr:rowOff>114300</xdr:rowOff>
    </xdr:to>
    <xdr:graphicFrame macro="">
      <xdr:nvGraphicFramePr>
        <xdr:cNvPr id="3729852" name="Gráfico 1">
          <a:extLst>
            <a:ext uri="{FF2B5EF4-FFF2-40B4-BE49-F238E27FC236}">
              <a16:creationId xmlns:a16="http://schemas.microsoft.com/office/drawing/2014/main" id="{00000000-0008-0000-0300-0000BC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38</xdr:row>
      <xdr:rowOff>38100</xdr:rowOff>
    </xdr:from>
    <xdr:to>
      <xdr:col>12</xdr:col>
      <xdr:colOff>781050</xdr:colOff>
      <xdr:row>57</xdr:row>
      <xdr:rowOff>114300</xdr:rowOff>
    </xdr:to>
    <xdr:graphicFrame macro="">
      <xdr:nvGraphicFramePr>
        <xdr:cNvPr id="3729853" name="Gráfico 2">
          <a:extLst>
            <a:ext uri="{FF2B5EF4-FFF2-40B4-BE49-F238E27FC236}">
              <a16:creationId xmlns:a16="http://schemas.microsoft.com/office/drawing/2014/main" id="{00000000-0008-0000-0300-0000BD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85725</xdr:rowOff>
    </xdr:from>
    <xdr:to>
      <xdr:col>0</xdr:col>
      <xdr:colOff>638175</xdr:colOff>
      <xdr:row>3</xdr:row>
      <xdr:rowOff>161925</xdr:rowOff>
    </xdr:to>
    <xdr:pic>
      <xdr:nvPicPr>
        <xdr:cNvPr id="3729854" name="Imagem 3" descr="LOGOABECIP.BMP">
          <a:extLst>
            <a:ext uri="{FF2B5EF4-FFF2-40B4-BE49-F238E27FC236}">
              <a16:creationId xmlns:a16="http://schemas.microsoft.com/office/drawing/2014/main" id="{00000000-0008-0000-0300-0000BEE93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485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">
    <pageSetUpPr fitToPage="1"/>
  </sheetPr>
  <dimension ref="A1:LO382"/>
  <sheetViews>
    <sheetView showGridLines="0" tabSelected="1" topLeftCell="A7" zoomScale="115" zoomScaleNormal="115" workbookViewId="0">
      <selection activeCell="I19" sqref="I19"/>
    </sheetView>
  </sheetViews>
  <sheetFormatPr defaultRowHeight="12.75" x14ac:dyDescent="0.2"/>
  <cols>
    <col min="1" max="1" width="10.85546875" style="78" customWidth="1"/>
    <col min="2" max="2" width="12.28515625" style="78" customWidth="1"/>
    <col min="3" max="3" width="11.7109375" style="78" customWidth="1"/>
    <col min="4" max="4" width="10.28515625" style="78" customWidth="1"/>
    <col min="5" max="5" width="7.42578125" style="78" customWidth="1"/>
    <col min="6" max="6" width="11.42578125" style="78" customWidth="1"/>
    <col min="7" max="7" width="11.28515625" style="78" customWidth="1"/>
    <col min="8" max="8" width="3.85546875" style="78" customWidth="1"/>
    <col min="9" max="9" width="11" style="78" customWidth="1"/>
    <col min="10" max="10" width="9.7109375" style="78" customWidth="1"/>
    <col min="11" max="11" width="9.140625" style="78"/>
    <col min="12" max="12" width="10.85546875" style="78" bestFit="1" customWidth="1"/>
    <col min="13" max="13" width="10.28515625" style="78" customWidth="1"/>
    <col min="14" max="14" width="13.28515625" style="78" customWidth="1"/>
    <col min="15" max="15" width="9.140625" style="86"/>
    <col min="16" max="16" width="3.28515625" style="78" customWidth="1"/>
    <col min="17" max="17" width="11.5703125" style="78" customWidth="1"/>
    <col min="18" max="18" width="11.42578125" style="78" bestFit="1" customWidth="1"/>
    <col min="19" max="19" width="11" style="78" bestFit="1" customWidth="1"/>
    <col min="20" max="20" width="17.28515625" style="78" bestFit="1" customWidth="1"/>
    <col min="21" max="21" width="9.28515625" style="78" customWidth="1"/>
    <col min="22" max="22" width="13.28515625" style="78" customWidth="1"/>
    <col min="23" max="23" width="11.42578125" style="78" customWidth="1"/>
    <col min="24" max="16384" width="9.140625" style="78"/>
  </cols>
  <sheetData>
    <row r="1" spans="1:327" x14ac:dyDescent="0.2">
      <c r="A1" s="77"/>
      <c r="I1" s="86"/>
      <c r="J1" s="86"/>
      <c r="K1" s="86"/>
      <c r="L1" s="86"/>
      <c r="M1" s="86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86"/>
      <c r="AA1" s="86"/>
      <c r="AB1" s="86"/>
      <c r="AC1" s="86"/>
      <c r="AD1" s="86"/>
    </row>
    <row r="2" spans="1:327" x14ac:dyDescent="0.2">
      <c r="A2" s="77"/>
      <c r="B2" s="58" t="s">
        <v>101</v>
      </c>
      <c r="C2" s="79"/>
      <c r="D2" s="79"/>
      <c r="E2" s="79"/>
      <c r="F2" s="79"/>
      <c r="G2" s="79"/>
      <c r="I2" s="86"/>
      <c r="J2" s="86"/>
      <c r="K2" s="86"/>
      <c r="L2" s="86"/>
      <c r="M2" s="86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86"/>
      <c r="AA2" s="86"/>
      <c r="AB2" s="86"/>
      <c r="AC2" s="86"/>
      <c r="AD2" s="86"/>
    </row>
    <row r="3" spans="1:327" x14ac:dyDescent="0.2">
      <c r="A3" s="77"/>
      <c r="B3" s="89" t="s">
        <v>76</v>
      </c>
      <c r="C3" s="80"/>
      <c r="D3" s="80"/>
      <c r="E3" s="80"/>
      <c r="F3" s="80"/>
      <c r="G3" s="80"/>
      <c r="H3" s="81"/>
      <c r="I3" s="86"/>
      <c r="J3" s="86"/>
      <c r="K3" s="86"/>
      <c r="L3" s="86"/>
      <c r="M3" s="86"/>
      <c r="N3" s="172"/>
      <c r="O3" s="81">
        <v>26</v>
      </c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86"/>
      <c r="AA3" s="86"/>
      <c r="AB3" s="86"/>
      <c r="AC3" s="86"/>
      <c r="AD3" s="86"/>
    </row>
    <row r="4" spans="1:327" x14ac:dyDescent="0.2">
      <c r="A4" s="77"/>
      <c r="B4" s="88" t="str">
        <f>CONCATENATE("Em" &amp; " " &amp; O4)</f>
        <v>Em 2020</v>
      </c>
      <c r="C4" s="77"/>
      <c r="D4" s="77"/>
      <c r="E4" s="77"/>
      <c r="F4" s="82"/>
      <c r="H4" s="81"/>
      <c r="I4" s="86"/>
      <c r="J4" s="86"/>
      <c r="K4" s="86"/>
      <c r="L4" s="86"/>
      <c r="M4" s="86"/>
      <c r="N4" s="172"/>
      <c r="O4" s="81">
        <f>O3+1994</f>
        <v>2020</v>
      </c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  <c r="IW4" s="172"/>
      <c r="IX4" s="172"/>
      <c r="IY4" s="172"/>
      <c r="IZ4" s="172"/>
      <c r="JA4" s="172"/>
      <c r="JB4" s="172"/>
      <c r="JC4" s="172"/>
      <c r="JD4" s="172"/>
      <c r="JE4" s="172"/>
      <c r="JF4" s="172"/>
      <c r="JG4" s="172"/>
      <c r="JH4" s="172"/>
      <c r="JI4" s="172"/>
      <c r="JJ4" s="172"/>
      <c r="JK4" s="172"/>
      <c r="JL4" s="172"/>
      <c r="JM4" s="172"/>
      <c r="JN4" s="172"/>
      <c r="JO4" s="172"/>
      <c r="JP4" s="172"/>
      <c r="JQ4" s="172"/>
      <c r="JR4" s="172"/>
      <c r="JS4" s="172"/>
      <c r="JT4" s="172"/>
      <c r="JU4" s="172"/>
      <c r="JV4" s="172"/>
      <c r="JW4" s="172"/>
      <c r="JX4" s="172"/>
      <c r="JY4" s="172"/>
      <c r="JZ4" s="172"/>
      <c r="KA4" s="172"/>
      <c r="KB4" s="172"/>
      <c r="KC4" s="172"/>
      <c r="KD4" s="172"/>
      <c r="KE4" s="172"/>
      <c r="KF4" s="172"/>
      <c r="KG4" s="172"/>
      <c r="KH4" s="172"/>
      <c r="KI4" s="172"/>
      <c r="KJ4" s="172"/>
      <c r="KK4" s="172"/>
      <c r="KL4" s="172"/>
      <c r="KM4" s="172"/>
      <c r="KN4" s="172"/>
      <c r="KO4" s="172"/>
      <c r="KP4" s="172"/>
      <c r="KQ4" s="172"/>
      <c r="KR4" s="172"/>
      <c r="KS4" s="172"/>
      <c r="KT4" s="172"/>
      <c r="KU4" s="172"/>
      <c r="KV4" s="172"/>
      <c r="KW4" s="172"/>
      <c r="KX4" s="172"/>
      <c r="KY4" s="172"/>
      <c r="KZ4" s="172"/>
      <c r="LA4" s="172"/>
      <c r="LB4" s="172"/>
      <c r="LC4" s="172"/>
      <c r="LD4" s="172"/>
      <c r="LE4" s="172"/>
      <c r="LF4" s="172"/>
      <c r="LG4" s="172"/>
      <c r="LH4" s="172"/>
      <c r="LI4" s="172"/>
      <c r="LJ4" s="172"/>
      <c r="LK4" s="172"/>
      <c r="LL4" s="172"/>
      <c r="LM4" s="172"/>
      <c r="LN4" s="172"/>
      <c r="LO4" s="172"/>
    </row>
    <row r="5" spans="1:327" x14ac:dyDescent="0.2">
      <c r="A5" s="90"/>
      <c r="B5" s="90"/>
      <c r="C5" s="90"/>
      <c r="D5" s="90"/>
      <c r="E5" s="90"/>
      <c r="F5" s="91"/>
      <c r="G5" s="92" t="s">
        <v>11</v>
      </c>
      <c r="H5" s="81"/>
      <c r="I5" s="86"/>
      <c r="J5" s="86"/>
      <c r="K5" s="86"/>
      <c r="L5" s="86"/>
      <c r="M5" s="86"/>
      <c r="N5" s="172"/>
      <c r="O5" s="81" t="str">
        <f>CONCATENATE("SBPE - Saldo de Poupança (R$ Milhões) em ",O4)</f>
        <v>SBPE - Saldo de Poupança (R$ Milhões) em 2020</v>
      </c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  <c r="IQ5" s="172"/>
      <c r="IR5" s="172"/>
      <c r="IS5" s="172"/>
      <c r="IT5" s="172"/>
      <c r="IU5" s="172"/>
      <c r="IV5" s="172"/>
      <c r="IW5" s="172"/>
      <c r="IX5" s="172"/>
      <c r="IY5" s="172"/>
      <c r="IZ5" s="172"/>
      <c r="JA5" s="172"/>
      <c r="JB5" s="172"/>
      <c r="JC5" s="172"/>
      <c r="JD5" s="172"/>
      <c r="JE5" s="172"/>
      <c r="JF5" s="172"/>
      <c r="JG5" s="172"/>
      <c r="JH5" s="172"/>
      <c r="JI5" s="172"/>
      <c r="JJ5" s="172"/>
      <c r="JK5" s="172"/>
      <c r="JL5" s="172"/>
      <c r="JM5" s="172"/>
      <c r="JN5" s="172"/>
      <c r="JO5" s="172"/>
      <c r="JP5" s="172"/>
      <c r="JQ5" s="172"/>
      <c r="JR5" s="172"/>
      <c r="JS5" s="172"/>
      <c r="JT5" s="172"/>
      <c r="JU5" s="172"/>
      <c r="JV5" s="172"/>
      <c r="JW5" s="172"/>
      <c r="JX5" s="172"/>
      <c r="JY5" s="172"/>
      <c r="JZ5" s="172"/>
      <c r="KA5" s="172"/>
      <c r="KB5" s="172"/>
      <c r="KC5" s="172"/>
      <c r="KD5" s="172"/>
      <c r="KE5" s="172"/>
      <c r="KF5" s="172"/>
      <c r="KG5" s="172"/>
      <c r="KH5" s="172"/>
      <c r="KI5" s="172"/>
      <c r="KJ5" s="172"/>
      <c r="KK5" s="172"/>
      <c r="KL5" s="172"/>
      <c r="KM5" s="172"/>
      <c r="KN5" s="172"/>
      <c r="KO5" s="172"/>
      <c r="KP5" s="172"/>
      <c r="KQ5" s="172"/>
      <c r="KR5" s="172"/>
      <c r="KS5" s="172"/>
      <c r="KT5" s="172"/>
      <c r="KU5" s="172"/>
      <c r="KV5" s="172"/>
      <c r="KW5" s="172"/>
      <c r="KX5" s="172"/>
      <c r="KY5" s="172"/>
      <c r="KZ5" s="172"/>
      <c r="LA5" s="172"/>
      <c r="LB5" s="172"/>
      <c r="LC5" s="172"/>
      <c r="LD5" s="172"/>
      <c r="LE5" s="172"/>
      <c r="LF5" s="172"/>
      <c r="LG5" s="172"/>
      <c r="LH5" s="172"/>
      <c r="LI5" s="172"/>
      <c r="LJ5" s="172"/>
      <c r="LK5" s="172"/>
      <c r="LL5" s="172"/>
      <c r="LM5" s="172"/>
      <c r="LN5" s="172"/>
      <c r="LO5" s="172"/>
    </row>
    <row r="6" spans="1:327" ht="12.75" customHeight="1" x14ac:dyDescent="0.2">
      <c r="A6" s="185" t="s">
        <v>13</v>
      </c>
      <c r="B6" s="185"/>
      <c r="C6" s="185"/>
      <c r="D6" s="185"/>
      <c r="E6" s="185"/>
      <c r="F6" s="185"/>
      <c r="G6" s="185"/>
      <c r="H6" s="81"/>
      <c r="I6" s="86"/>
      <c r="J6" s="87"/>
      <c r="K6" s="87"/>
      <c r="L6" s="86"/>
      <c r="M6" s="86"/>
      <c r="N6" s="172"/>
      <c r="O6" s="81" t="str">
        <f>CONCATENATE("SBPE - Captação Líquida Acumulada no Ano (R$ Milhões) ",O4)</f>
        <v>SBPE - Captação Líquida Acumulada no Ano (R$ Milhões) 2020</v>
      </c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172"/>
      <c r="IU6" s="172"/>
      <c r="IV6" s="172"/>
      <c r="IW6" s="172"/>
      <c r="IX6" s="172"/>
      <c r="IY6" s="172"/>
      <c r="IZ6" s="172"/>
      <c r="JA6" s="172"/>
      <c r="JB6" s="172"/>
      <c r="JC6" s="172"/>
      <c r="JD6" s="172"/>
      <c r="JE6" s="172"/>
      <c r="JF6" s="172"/>
      <c r="JG6" s="172"/>
      <c r="JH6" s="172"/>
      <c r="JI6" s="172"/>
      <c r="JJ6" s="172"/>
      <c r="JK6" s="172"/>
      <c r="JL6" s="172"/>
      <c r="JM6" s="172"/>
      <c r="JN6" s="172"/>
      <c r="JO6" s="172"/>
      <c r="JP6" s="172"/>
      <c r="JQ6" s="172"/>
      <c r="JR6" s="172"/>
      <c r="JS6" s="172"/>
      <c r="JT6" s="172"/>
      <c r="JU6" s="172"/>
      <c r="JV6" s="172"/>
      <c r="JW6" s="172"/>
      <c r="JX6" s="172"/>
      <c r="JY6" s="172"/>
      <c r="JZ6" s="172"/>
      <c r="KA6" s="172"/>
      <c r="KB6" s="172"/>
      <c r="KC6" s="172"/>
      <c r="KD6" s="172"/>
      <c r="KE6" s="172"/>
      <c r="KF6" s="172"/>
      <c r="KG6" s="172"/>
      <c r="KH6" s="172"/>
      <c r="KI6" s="172"/>
      <c r="KJ6" s="172"/>
      <c r="KK6" s="172"/>
      <c r="KL6" s="172"/>
      <c r="KM6" s="172"/>
      <c r="KN6" s="172"/>
      <c r="KO6" s="172"/>
      <c r="KP6" s="172"/>
      <c r="KQ6" s="172"/>
      <c r="KR6" s="172"/>
      <c r="KS6" s="172"/>
      <c r="KT6" s="172"/>
      <c r="KU6" s="172"/>
      <c r="KV6" s="172"/>
      <c r="KW6" s="172"/>
      <c r="KX6" s="172"/>
      <c r="KY6" s="172"/>
      <c r="KZ6" s="172"/>
      <c r="LA6" s="172"/>
      <c r="LB6" s="172"/>
      <c r="LC6" s="172"/>
      <c r="LD6" s="172"/>
      <c r="LE6" s="172"/>
      <c r="LF6" s="172"/>
      <c r="LG6" s="172"/>
      <c r="LH6" s="172"/>
      <c r="LI6" s="172"/>
      <c r="LJ6" s="172"/>
      <c r="LK6" s="172"/>
      <c r="LL6" s="172"/>
      <c r="LM6" s="172"/>
      <c r="LN6" s="172"/>
      <c r="LO6" s="172"/>
    </row>
    <row r="7" spans="1:327" ht="12.75" customHeight="1" x14ac:dyDescent="0.2">
      <c r="A7" s="77"/>
      <c r="B7" s="77"/>
      <c r="C7" s="77"/>
      <c r="D7" s="77"/>
      <c r="E7" s="77"/>
      <c r="F7" s="82"/>
      <c r="G7" s="82"/>
      <c r="H7" s="81"/>
      <c r="I7" s="86"/>
      <c r="J7" s="87"/>
      <c r="K7" s="87"/>
      <c r="L7" s="86"/>
      <c r="M7" s="86"/>
      <c r="N7" s="172"/>
      <c r="O7" s="149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  <c r="IW7" s="172"/>
      <c r="IX7" s="172"/>
      <c r="IY7" s="172"/>
      <c r="IZ7" s="172"/>
      <c r="JA7" s="172"/>
      <c r="JB7" s="172"/>
      <c r="JC7" s="172"/>
      <c r="JD7" s="172"/>
      <c r="JE7" s="172"/>
      <c r="JF7" s="172"/>
      <c r="JG7" s="172"/>
      <c r="JH7" s="172"/>
      <c r="JI7" s="172"/>
      <c r="JJ7" s="172"/>
      <c r="JK7" s="172"/>
      <c r="JL7" s="172"/>
      <c r="JM7" s="172"/>
      <c r="JN7" s="172"/>
      <c r="JO7" s="172"/>
      <c r="JP7" s="172"/>
      <c r="JQ7" s="172"/>
      <c r="JR7" s="172"/>
      <c r="JS7" s="172"/>
      <c r="JT7" s="172"/>
      <c r="JU7" s="172"/>
      <c r="JV7" s="172"/>
      <c r="JW7" s="172"/>
      <c r="JX7" s="172"/>
      <c r="JY7" s="172"/>
      <c r="JZ7" s="172"/>
      <c r="KA7" s="172"/>
      <c r="KB7" s="172"/>
      <c r="KC7" s="172"/>
      <c r="KD7" s="172"/>
      <c r="KE7" s="172"/>
      <c r="KF7" s="172"/>
      <c r="KG7" s="172"/>
      <c r="KH7" s="172"/>
      <c r="KI7" s="172"/>
      <c r="KJ7" s="172"/>
      <c r="KK7" s="172"/>
      <c r="KL7" s="172"/>
      <c r="KM7" s="172"/>
      <c r="KN7" s="172"/>
      <c r="KO7" s="172"/>
      <c r="KP7" s="172"/>
      <c r="KQ7" s="172"/>
      <c r="KR7" s="172"/>
      <c r="KS7" s="172"/>
      <c r="KT7" s="172"/>
      <c r="KU7" s="172"/>
      <c r="KV7" s="172"/>
      <c r="KW7" s="172"/>
      <c r="KX7" s="172"/>
      <c r="KY7" s="172"/>
      <c r="KZ7" s="172"/>
      <c r="LA7" s="172"/>
      <c r="LB7" s="172"/>
      <c r="LC7" s="172"/>
      <c r="LD7" s="172"/>
      <c r="LE7" s="172"/>
      <c r="LF7" s="172"/>
      <c r="LG7" s="172"/>
      <c r="LH7" s="172"/>
      <c r="LI7" s="172"/>
      <c r="LJ7" s="172"/>
      <c r="LK7" s="172"/>
      <c r="LL7" s="172"/>
      <c r="LM7" s="172"/>
      <c r="LN7" s="172"/>
      <c r="LO7" s="172"/>
    </row>
    <row r="8" spans="1:327" ht="15" x14ac:dyDescent="0.25">
      <c r="A8" s="186" t="s">
        <v>0</v>
      </c>
      <c r="B8" s="187" t="s">
        <v>5</v>
      </c>
      <c r="C8" s="187" t="s">
        <v>6</v>
      </c>
      <c r="D8" s="188" t="s">
        <v>1</v>
      </c>
      <c r="E8" s="189"/>
      <c r="F8" s="187" t="s">
        <v>8</v>
      </c>
      <c r="G8" s="187" t="s">
        <v>4</v>
      </c>
      <c r="I8" s="86"/>
      <c r="J8" s="87"/>
      <c r="K8" s="87"/>
      <c r="L8" s="86"/>
      <c r="M8" s="86"/>
      <c r="N8" s="172"/>
      <c r="O8" s="149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  <c r="IU8" s="172"/>
      <c r="IV8" s="172"/>
      <c r="IW8" s="172"/>
      <c r="IX8" s="172"/>
      <c r="IY8" s="172"/>
      <c r="IZ8" s="172"/>
      <c r="JA8" s="172"/>
      <c r="JB8" s="172"/>
      <c r="JC8" s="172"/>
      <c r="JD8" s="172"/>
      <c r="JE8" s="172"/>
      <c r="JF8" s="172"/>
      <c r="JG8" s="172"/>
      <c r="JH8" s="172"/>
      <c r="JI8" s="172"/>
      <c r="JJ8" s="172"/>
      <c r="JK8" s="172"/>
      <c r="JL8" s="172"/>
      <c r="JM8" s="172"/>
      <c r="JN8" s="172"/>
      <c r="JO8" s="172"/>
      <c r="JP8" s="172"/>
      <c r="JQ8" s="172"/>
      <c r="JR8" s="172"/>
      <c r="JS8" s="172"/>
      <c r="JT8" s="172"/>
      <c r="JU8" s="172"/>
      <c r="JV8" s="172"/>
      <c r="JW8" s="172"/>
      <c r="JX8" s="172"/>
      <c r="JY8" s="172"/>
      <c r="JZ8" s="172"/>
      <c r="KA8" s="172"/>
      <c r="KB8" s="172"/>
      <c r="KC8" s="172"/>
      <c r="KD8" s="172"/>
      <c r="KE8" s="172"/>
      <c r="KF8" s="172"/>
      <c r="KG8" s="172"/>
      <c r="KH8" s="172"/>
      <c r="KI8" s="172"/>
      <c r="KJ8" s="172"/>
      <c r="KK8" s="172"/>
      <c r="KL8" s="172"/>
      <c r="KM8" s="172"/>
      <c r="KN8" s="172"/>
      <c r="KO8" s="172"/>
      <c r="KP8" s="172"/>
      <c r="KQ8" s="172"/>
      <c r="KR8" s="172"/>
      <c r="KS8" s="172"/>
      <c r="KT8" s="172"/>
      <c r="KU8" s="172"/>
      <c r="KV8" s="172"/>
      <c r="KW8" s="172"/>
      <c r="KX8" s="172"/>
      <c r="KY8" s="172"/>
      <c r="KZ8" s="172"/>
      <c r="LA8" s="172"/>
      <c r="LB8" s="172"/>
      <c r="LC8" s="172"/>
      <c r="LD8" s="172"/>
      <c r="LE8" s="172"/>
      <c r="LF8" s="172"/>
      <c r="LG8" s="172"/>
      <c r="LH8" s="172"/>
      <c r="LI8" s="172"/>
      <c r="LJ8" s="172"/>
      <c r="LK8" s="172"/>
      <c r="LL8" s="172"/>
      <c r="LM8" s="172"/>
      <c r="LN8" s="172"/>
      <c r="LO8" s="172"/>
    </row>
    <row r="9" spans="1:327" ht="15" x14ac:dyDescent="0.25">
      <c r="A9" s="186"/>
      <c r="B9" s="187"/>
      <c r="C9" s="187"/>
      <c r="D9" s="100" t="s">
        <v>2</v>
      </c>
      <c r="E9" s="100" t="s">
        <v>3</v>
      </c>
      <c r="F9" s="187"/>
      <c r="G9" s="187"/>
      <c r="I9" s="86"/>
      <c r="J9" s="87"/>
      <c r="K9" s="87"/>
      <c r="L9" s="86"/>
      <c r="M9" s="86"/>
      <c r="N9" s="172"/>
      <c r="O9" s="149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2"/>
      <c r="IT9" s="172"/>
      <c r="IU9" s="172"/>
      <c r="IV9" s="172"/>
      <c r="IW9" s="172"/>
      <c r="IX9" s="172"/>
      <c r="IY9" s="172"/>
      <c r="IZ9" s="172"/>
      <c r="JA9" s="172"/>
      <c r="JB9" s="172"/>
      <c r="JC9" s="172"/>
      <c r="JD9" s="172"/>
      <c r="JE9" s="172"/>
      <c r="JF9" s="172"/>
      <c r="JG9" s="172"/>
      <c r="JH9" s="172"/>
      <c r="JI9" s="172"/>
      <c r="JJ9" s="172"/>
      <c r="JK9" s="172"/>
      <c r="JL9" s="172"/>
      <c r="JM9" s="172"/>
      <c r="JN9" s="172"/>
      <c r="JO9" s="172"/>
      <c r="JP9" s="172"/>
      <c r="JQ9" s="172"/>
      <c r="JR9" s="172"/>
      <c r="JS9" s="172"/>
      <c r="JT9" s="172"/>
      <c r="JU9" s="172"/>
      <c r="JV9" s="172"/>
      <c r="JW9" s="172"/>
      <c r="JX9" s="172"/>
      <c r="JY9" s="172"/>
      <c r="JZ9" s="172"/>
      <c r="KA9" s="172"/>
      <c r="KB9" s="172"/>
      <c r="KC9" s="172"/>
      <c r="KD9" s="172"/>
      <c r="KE9" s="172"/>
      <c r="KF9" s="172"/>
      <c r="KG9" s="172"/>
      <c r="KH9" s="172"/>
      <c r="KI9" s="172"/>
      <c r="KJ9" s="172"/>
      <c r="KK9" s="172"/>
      <c r="KL9" s="172"/>
      <c r="KM9" s="172"/>
      <c r="KN9" s="172"/>
      <c r="KO9" s="172"/>
      <c r="KP9" s="172"/>
      <c r="KQ9" s="172"/>
      <c r="KR9" s="172"/>
      <c r="KS9" s="172"/>
      <c r="KT9" s="172"/>
      <c r="KU9" s="172"/>
      <c r="KV9" s="172"/>
      <c r="KW9" s="172"/>
      <c r="KX9" s="172"/>
      <c r="KY9" s="172"/>
      <c r="KZ9" s="172"/>
      <c r="LA9" s="172"/>
      <c r="LB9" s="172"/>
      <c r="LC9" s="172"/>
      <c r="LD9" s="172"/>
      <c r="LE9" s="172"/>
      <c r="LF9" s="172"/>
      <c r="LG9" s="172"/>
      <c r="LH9" s="172"/>
      <c r="LI9" s="172"/>
      <c r="LJ9" s="172"/>
      <c r="LK9" s="172"/>
      <c r="LL9" s="172"/>
      <c r="LM9" s="172"/>
      <c r="LN9" s="172"/>
      <c r="LO9" s="172"/>
    </row>
    <row r="10" spans="1:327" s="73" customFormat="1" x14ac:dyDescent="0.2">
      <c r="B10" s="74"/>
      <c r="C10" s="74"/>
      <c r="D10" s="74"/>
      <c r="E10" s="74"/>
      <c r="F10" s="74"/>
      <c r="G10" s="74"/>
      <c r="I10" s="85"/>
      <c r="J10" s="85"/>
      <c r="K10" s="85"/>
      <c r="L10" s="85"/>
      <c r="M10" s="85"/>
      <c r="N10" s="173"/>
      <c r="O10" s="184"/>
      <c r="P10" s="173"/>
      <c r="Q10" s="173"/>
      <c r="R10" s="173"/>
      <c r="S10" s="173"/>
      <c r="T10" s="172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  <c r="IW10" s="173"/>
      <c r="IX10" s="173"/>
      <c r="IY10" s="173"/>
      <c r="IZ10" s="173"/>
      <c r="JA10" s="173"/>
      <c r="JB10" s="173"/>
      <c r="JC10" s="173"/>
      <c r="JD10" s="173"/>
      <c r="JE10" s="173"/>
      <c r="JF10" s="173"/>
      <c r="JG10" s="173"/>
      <c r="JH10" s="173"/>
      <c r="JI10" s="173"/>
      <c r="JJ10" s="173"/>
      <c r="JK10" s="173"/>
      <c r="JL10" s="173"/>
      <c r="JM10" s="173"/>
      <c r="JN10" s="173"/>
      <c r="JO10" s="173"/>
      <c r="JP10" s="173"/>
      <c r="JQ10" s="173"/>
      <c r="JR10" s="173"/>
      <c r="JS10" s="173"/>
      <c r="JT10" s="173"/>
      <c r="JU10" s="173"/>
      <c r="JV10" s="173"/>
      <c r="JW10" s="173"/>
      <c r="JX10" s="173"/>
      <c r="JY10" s="173"/>
      <c r="JZ10" s="173"/>
      <c r="KA10" s="173"/>
      <c r="KB10" s="173"/>
      <c r="KC10" s="173"/>
      <c r="KD10" s="173"/>
      <c r="KE10" s="173"/>
      <c r="KF10" s="173"/>
      <c r="KG10" s="173"/>
      <c r="KH10" s="173"/>
      <c r="KI10" s="173"/>
      <c r="KJ10" s="173"/>
      <c r="KK10" s="173"/>
      <c r="KL10" s="173"/>
      <c r="KM10" s="173"/>
      <c r="KN10" s="173"/>
      <c r="KO10" s="173"/>
      <c r="KP10" s="173"/>
      <c r="KQ10" s="173"/>
      <c r="KR10" s="173"/>
      <c r="KS10" s="173"/>
      <c r="KT10" s="173"/>
      <c r="KU10" s="173"/>
      <c r="KV10" s="173"/>
      <c r="KW10" s="173"/>
      <c r="KX10" s="173"/>
      <c r="KY10" s="173"/>
      <c r="KZ10" s="173"/>
      <c r="LA10" s="173"/>
      <c r="LB10" s="173"/>
      <c r="LC10" s="173"/>
      <c r="LD10" s="173"/>
      <c r="LE10" s="173"/>
      <c r="LF10" s="173"/>
      <c r="LG10" s="173"/>
      <c r="LH10" s="173"/>
      <c r="LI10" s="173"/>
      <c r="LJ10" s="173"/>
      <c r="LK10" s="173"/>
      <c r="LL10" s="173"/>
      <c r="LM10" s="173"/>
      <c r="LN10" s="173"/>
      <c r="LO10" s="173"/>
    </row>
    <row r="11" spans="1:327" s="73" customFormat="1" x14ac:dyDescent="0.2">
      <c r="A11" s="75" t="s">
        <v>81</v>
      </c>
      <c r="B11" s="93">
        <f>IF($F51&lt;$I$52,"",IF($F51&gt;$I$54,"",VLOOKUP($F51,SBPE_Mensal!$A$20:$G$526,2)))</f>
        <v>184815.03200000001</v>
      </c>
      <c r="C11" s="94">
        <f>IF(F51&lt;$I$52,"",IF(F51&gt;$I$54,"",VLOOKUP(F51,SBPE_Mensal!$A$20:$G$526,3)))</f>
        <v>194650.177</v>
      </c>
      <c r="D11" s="95">
        <f>IF(F51&lt;$I$52,"",IF(F51&gt;$I$54,"",VLOOKUP(F51,SBPE_Mensal!$A$20:$G$526,4)))</f>
        <v>-9835.1449999999895</v>
      </c>
      <c r="E11" s="98">
        <f>IF(F51&lt;$I$52,"",IF(F51&gt;$I$54,"",VLOOKUP(F51,SBPE_Mensal!$A$20:$G$526,5)))</f>
        <v>-1.4957680153035158</v>
      </c>
      <c r="F11" s="94">
        <f>IF(F51&lt;$I$52,"",IF(F51&gt;$I$54,"",VLOOKUP(F51,SBPE_Mensal!$A$20:$G$526,6)))</f>
        <v>1948.7329999999999</v>
      </c>
      <c r="G11" s="95">
        <f>IF(F51&lt;$I$52,"",IF(F51&gt;$I$54,"",VLOOKUP(F51,SBPE_Mensal!$A$20:$G$526,7)))</f>
        <v>649645.04</v>
      </c>
      <c r="I11" s="85"/>
      <c r="J11" s="128"/>
      <c r="K11" s="85"/>
      <c r="L11" s="85"/>
      <c r="M11" s="85"/>
      <c r="N11" s="173"/>
      <c r="O11" s="184"/>
      <c r="P11" s="173"/>
      <c r="Q11" s="173"/>
      <c r="R11" s="173"/>
      <c r="S11" s="173"/>
      <c r="T11" s="172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  <c r="IW11" s="173"/>
      <c r="IX11" s="173"/>
      <c r="IY11" s="173"/>
      <c r="IZ11" s="173"/>
      <c r="JA11" s="173"/>
      <c r="JB11" s="173"/>
      <c r="JC11" s="173"/>
      <c r="JD11" s="173"/>
      <c r="JE11" s="173"/>
      <c r="JF11" s="173"/>
      <c r="JG11" s="173"/>
      <c r="JH11" s="173"/>
      <c r="JI11" s="173"/>
      <c r="JJ11" s="173"/>
      <c r="JK11" s="173"/>
      <c r="JL11" s="173"/>
      <c r="JM11" s="173"/>
      <c r="JN11" s="173"/>
      <c r="JO11" s="173"/>
      <c r="JP11" s="173"/>
      <c r="JQ11" s="173"/>
      <c r="JR11" s="173"/>
      <c r="JS11" s="173"/>
      <c r="JT11" s="173"/>
      <c r="JU11" s="173"/>
      <c r="JV11" s="173"/>
      <c r="JW11" s="173"/>
      <c r="JX11" s="173"/>
      <c r="JY11" s="173"/>
      <c r="JZ11" s="173"/>
      <c r="KA11" s="173"/>
      <c r="KB11" s="173"/>
      <c r="KC11" s="173"/>
      <c r="KD11" s="173"/>
      <c r="KE11" s="173"/>
      <c r="KF11" s="173"/>
      <c r="KG11" s="173"/>
      <c r="KH11" s="173"/>
      <c r="KI11" s="173"/>
      <c r="KJ11" s="173"/>
      <c r="KK11" s="173"/>
      <c r="KL11" s="173"/>
      <c r="KM11" s="173"/>
      <c r="KN11" s="173"/>
      <c r="KO11" s="173"/>
      <c r="KP11" s="173"/>
      <c r="KQ11" s="173"/>
      <c r="KR11" s="173"/>
      <c r="KS11" s="173"/>
      <c r="KT11" s="173"/>
      <c r="KU11" s="173"/>
      <c r="KV11" s="173"/>
      <c r="KW11" s="173"/>
      <c r="KX11" s="173"/>
      <c r="KY11" s="173"/>
      <c r="KZ11" s="173"/>
      <c r="LA11" s="173"/>
      <c r="LB11" s="173"/>
      <c r="LC11" s="173"/>
      <c r="LD11" s="173"/>
      <c r="LE11" s="173"/>
      <c r="LF11" s="173"/>
      <c r="LG11" s="173"/>
      <c r="LH11" s="173"/>
      <c r="LI11" s="173"/>
      <c r="LJ11" s="173"/>
      <c r="LK11" s="173"/>
      <c r="LL11" s="173"/>
      <c r="LM11" s="173"/>
      <c r="LN11" s="173"/>
      <c r="LO11" s="173"/>
    </row>
    <row r="12" spans="1:327" s="73" customFormat="1" x14ac:dyDescent="0.2">
      <c r="A12" s="75" t="s">
        <v>82</v>
      </c>
      <c r="B12" s="93">
        <f>IF($F52&lt;$I$52,"",IF($F52&gt;$I$54,"",VLOOKUP($F52,SBPE_Mensal!$A$20:$G$526,2)))</f>
        <v>165750.44500000001</v>
      </c>
      <c r="C12" s="94">
        <f>IF(F52&lt;$I$52,"",IF(F52&gt;$I$54,"",VLOOKUP(F52,SBPE_Mensal!$A$20:$G$526,3)))</f>
        <v>168021.02499999999</v>
      </c>
      <c r="D12" s="95">
        <f>IF(F52&lt;$I$52,"",IF(F52&gt;$I$54,"",VLOOKUP(F52,SBPE_Mensal!$A$20:$G$526,4)))</f>
        <v>-2270.5799999999872</v>
      </c>
      <c r="E12" s="98">
        <f>IF(F52&lt;$I$52,"",IF(F52&gt;$I$54,"",VLOOKUP(F52,SBPE_Mensal!$A$20:$G$526,5)))</f>
        <v>-0.34951086519493585</v>
      </c>
      <c r="F12" s="94">
        <f>IF(F52&lt;$I$52,"",IF(F52&gt;$I$54,"",VLOOKUP(F52,SBPE_Mensal!$A$20:$G$526,6)))</f>
        <v>1855.1610000000001</v>
      </c>
      <c r="G12" s="95">
        <f>IF(F52&lt;$I$52,"",IF(F52&gt;$I$54,"",VLOOKUP(F52,SBPE_Mensal!$A$20:$G$526,7)))</f>
        <v>649229.63</v>
      </c>
      <c r="I12" s="85"/>
      <c r="J12" s="85"/>
      <c r="K12" s="85"/>
      <c r="L12" s="85"/>
      <c r="M12" s="85"/>
      <c r="N12" s="173"/>
      <c r="O12" s="184"/>
      <c r="P12" s="173"/>
      <c r="Q12" s="173"/>
      <c r="R12" s="173"/>
      <c r="S12" s="173"/>
      <c r="T12" s="172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  <c r="IW12" s="173"/>
      <c r="IX12" s="173"/>
      <c r="IY12" s="173"/>
      <c r="IZ12" s="173"/>
      <c r="JA12" s="173"/>
      <c r="JB12" s="173"/>
      <c r="JC12" s="173"/>
      <c r="JD12" s="173"/>
      <c r="JE12" s="173"/>
      <c r="JF12" s="173"/>
      <c r="JG12" s="173"/>
      <c r="JH12" s="173"/>
      <c r="JI12" s="173"/>
      <c r="JJ12" s="173"/>
      <c r="JK12" s="173"/>
      <c r="JL12" s="173"/>
      <c r="JM12" s="173"/>
      <c r="JN12" s="173"/>
      <c r="JO12" s="173"/>
      <c r="JP12" s="173"/>
      <c r="JQ12" s="173"/>
      <c r="JR12" s="173"/>
      <c r="JS12" s="173"/>
      <c r="JT12" s="173"/>
      <c r="JU12" s="173"/>
      <c r="JV12" s="173"/>
      <c r="JW12" s="173"/>
      <c r="JX12" s="173"/>
      <c r="JY12" s="173"/>
      <c r="JZ12" s="173"/>
      <c r="KA12" s="173"/>
      <c r="KB12" s="173"/>
      <c r="KC12" s="173"/>
      <c r="KD12" s="173"/>
      <c r="KE12" s="173"/>
      <c r="KF12" s="173"/>
      <c r="KG12" s="173"/>
      <c r="KH12" s="173"/>
      <c r="KI12" s="173"/>
      <c r="KJ12" s="173"/>
      <c r="KK12" s="173"/>
      <c r="KL12" s="173"/>
      <c r="KM12" s="173"/>
      <c r="KN12" s="173"/>
      <c r="KO12" s="173"/>
      <c r="KP12" s="173"/>
      <c r="KQ12" s="173"/>
      <c r="KR12" s="173"/>
      <c r="KS12" s="173"/>
      <c r="KT12" s="173"/>
      <c r="KU12" s="173"/>
      <c r="KV12" s="173"/>
      <c r="KW12" s="173"/>
      <c r="KX12" s="173"/>
      <c r="KY12" s="173"/>
      <c r="KZ12" s="173"/>
      <c r="LA12" s="173"/>
      <c r="LB12" s="173"/>
      <c r="LC12" s="173"/>
      <c r="LD12" s="173"/>
      <c r="LE12" s="173"/>
      <c r="LF12" s="173"/>
      <c r="LG12" s="173"/>
      <c r="LH12" s="173"/>
      <c r="LI12" s="173"/>
      <c r="LJ12" s="173"/>
      <c r="LK12" s="173"/>
      <c r="LL12" s="173"/>
      <c r="LM12" s="173"/>
      <c r="LN12" s="173"/>
      <c r="LO12" s="173"/>
    </row>
    <row r="13" spans="1:327" s="73" customFormat="1" x14ac:dyDescent="0.2">
      <c r="A13" s="75" t="s">
        <v>83</v>
      </c>
      <c r="B13" s="93">
        <f>IF($F53&lt;$I$52,"",IF($F53&gt;$I$54,"",VLOOKUP($F53,SBPE_Mensal!$A$20:$G$526,2)))</f>
        <v>186749.97200000001</v>
      </c>
      <c r="C13" s="94">
        <f>IF(F53&lt;$I$52,"",IF(F53&gt;$I$54,"",VLOOKUP(F53,SBPE_Mensal!$A$20:$G$526,3)))</f>
        <v>178501.00200000001</v>
      </c>
      <c r="D13" s="95">
        <f>IF(F53&lt;$I$52,"",IF(F53&gt;$I$54,"",VLOOKUP(F53,SBPE_Mensal!$A$20:$G$526,4)))</f>
        <v>8248.9700000000012</v>
      </c>
      <c r="E13" s="98">
        <f>IF(F53&lt;$I$52,"",IF(F53&gt;$I$54,"",VLOOKUP(F53,SBPE_Mensal!$A$20:$G$526,5)))</f>
        <v>1.2705781774008067</v>
      </c>
      <c r="F13" s="94">
        <f>IF(F53&lt;$I$52,"",IF(F53&gt;$I$54,"",VLOOKUP(F53,SBPE_Mensal!$A$20:$G$526,6)))</f>
        <v>1804.857</v>
      </c>
      <c r="G13" s="95">
        <f>IF(F53&lt;$I$52,"",IF(F53&gt;$I$54,"",VLOOKUP(F53,SBPE_Mensal!$A$20:$G$526,7)))</f>
        <v>659283.46900000004</v>
      </c>
      <c r="I13" s="85"/>
      <c r="J13" s="85"/>
      <c r="K13" s="85"/>
      <c r="L13" s="85"/>
      <c r="M13" s="85"/>
      <c r="N13" s="173"/>
      <c r="O13" s="184"/>
      <c r="P13" s="173"/>
      <c r="Q13" s="173"/>
      <c r="R13" s="173"/>
      <c r="S13" s="173"/>
      <c r="T13" s="172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  <c r="IW13" s="173"/>
      <c r="IX13" s="173"/>
      <c r="IY13" s="173"/>
      <c r="IZ13" s="173"/>
      <c r="JA13" s="173"/>
      <c r="JB13" s="173"/>
      <c r="JC13" s="173"/>
      <c r="JD13" s="173"/>
      <c r="JE13" s="173"/>
      <c r="JF13" s="173"/>
      <c r="JG13" s="173"/>
      <c r="JH13" s="173"/>
      <c r="JI13" s="173"/>
      <c r="JJ13" s="173"/>
      <c r="JK13" s="173"/>
      <c r="JL13" s="173"/>
      <c r="JM13" s="173"/>
      <c r="JN13" s="173"/>
      <c r="JO13" s="173"/>
      <c r="JP13" s="173"/>
      <c r="JQ13" s="173"/>
      <c r="JR13" s="173"/>
      <c r="JS13" s="173"/>
      <c r="JT13" s="173"/>
      <c r="JU13" s="173"/>
      <c r="JV13" s="173"/>
      <c r="JW13" s="173"/>
      <c r="JX13" s="173"/>
      <c r="JY13" s="173"/>
      <c r="JZ13" s="173"/>
      <c r="KA13" s="173"/>
      <c r="KB13" s="173"/>
      <c r="KC13" s="173"/>
      <c r="KD13" s="173"/>
      <c r="KE13" s="173"/>
      <c r="KF13" s="173"/>
      <c r="KG13" s="173"/>
      <c r="KH13" s="173"/>
      <c r="KI13" s="173"/>
      <c r="KJ13" s="173"/>
      <c r="KK13" s="173"/>
      <c r="KL13" s="173"/>
      <c r="KM13" s="173"/>
      <c r="KN13" s="173"/>
      <c r="KO13" s="173"/>
      <c r="KP13" s="173"/>
      <c r="KQ13" s="173"/>
      <c r="KR13" s="173"/>
      <c r="KS13" s="173"/>
      <c r="KT13" s="173"/>
      <c r="KU13" s="173"/>
      <c r="KV13" s="173"/>
      <c r="KW13" s="173"/>
      <c r="KX13" s="173"/>
      <c r="KY13" s="173"/>
      <c r="KZ13" s="173"/>
      <c r="LA13" s="173"/>
      <c r="LB13" s="173"/>
      <c r="LC13" s="173"/>
      <c r="LD13" s="173"/>
      <c r="LE13" s="173"/>
      <c r="LF13" s="173"/>
      <c r="LG13" s="173"/>
      <c r="LH13" s="173"/>
      <c r="LI13" s="173"/>
      <c r="LJ13" s="173"/>
      <c r="LK13" s="173"/>
      <c r="LL13" s="173"/>
      <c r="LM13" s="173"/>
      <c r="LN13" s="173"/>
      <c r="LO13" s="173"/>
    </row>
    <row r="14" spans="1:327" s="73" customFormat="1" x14ac:dyDescent="0.2">
      <c r="A14" s="75" t="s">
        <v>84</v>
      </c>
      <c r="B14" s="93">
        <f>IF($F54&lt;$I$52,"",IF($F54&gt;$I$54,"",VLOOKUP($F54,SBPE_Mensal!$A$20:$G$526,2)))</f>
        <v>182787.87400000001</v>
      </c>
      <c r="C14" s="94">
        <f>IF(F54&lt;$I$52,"",IF(F54&gt;$I$54,"",VLOOKUP(F54,SBPE_Mensal!$A$20:$G$526,3)))</f>
        <v>158173.359</v>
      </c>
      <c r="D14" s="95">
        <f>IF(F54&lt;$I$52,"",IF(F54&gt;$I$54,"",VLOOKUP(F54,SBPE_Mensal!$A$20:$G$526,4)))</f>
        <v>24614.515000000014</v>
      </c>
      <c r="E14" s="98">
        <f>IF(F54&lt;$I$52,"",IF(F54&gt;$I$54,"",VLOOKUP(F54,SBPE_Mensal!$A$20:$G$526,5)))</f>
        <v>3.7335252827338841</v>
      </c>
      <c r="F14" s="94">
        <f>IF(F54&lt;$I$52,"",IF(F54&gt;$I$54,"",VLOOKUP(F54,SBPE_Mensal!$A$20:$G$526,6)))</f>
        <v>1777.704</v>
      </c>
      <c r="G14" s="95">
        <f>IF(F54&lt;$I$52,"",IF(F54&gt;$I$54,"",VLOOKUP(F54,SBPE_Mensal!$A$20:$G$526,7)))</f>
        <v>685675.70200000005</v>
      </c>
      <c r="I14" s="85"/>
      <c r="J14" s="85"/>
      <c r="K14" s="85"/>
      <c r="L14" s="85"/>
      <c r="M14" s="85"/>
      <c r="N14" s="173"/>
      <c r="O14" s="184"/>
      <c r="P14" s="173"/>
      <c r="Q14" s="173"/>
      <c r="R14" s="173"/>
      <c r="S14" s="173"/>
      <c r="T14" s="172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  <c r="IW14" s="173"/>
      <c r="IX14" s="173"/>
      <c r="IY14" s="173"/>
      <c r="IZ14" s="173"/>
      <c r="JA14" s="173"/>
      <c r="JB14" s="173"/>
      <c r="JC14" s="173"/>
      <c r="JD14" s="173"/>
      <c r="JE14" s="173"/>
      <c r="JF14" s="173"/>
      <c r="JG14" s="173"/>
      <c r="JH14" s="173"/>
      <c r="JI14" s="173"/>
      <c r="JJ14" s="173"/>
      <c r="JK14" s="173"/>
      <c r="JL14" s="173"/>
      <c r="JM14" s="173"/>
      <c r="JN14" s="173"/>
      <c r="JO14" s="173"/>
      <c r="JP14" s="173"/>
      <c r="JQ14" s="173"/>
      <c r="JR14" s="173"/>
      <c r="JS14" s="173"/>
      <c r="JT14" s="173"/>
      <c r="JU14" s="173"/>
      <c r="JV14" s="173"/>
      <c r="JW14" s="173"/>
      <c r="JX14" s="173"/>
      <c r="JY14" s="173"/>
      <c r="JZ14" s="173"/>
      <c r="KA14" s="173"/>
      <c r="KB14" s="173"/>
      <c r="KC14" s="173"/>
      <c r="KD14" s="173"/>
      <c r="KE14" s="173"/>
      <c r="KF14" s="173"/>
      <c r="KG14" s="173"/>
      <c r="KH14" s="173"/>
      <c r="KI14" s="173"/>
      <c r="KJ14" s="173"/>
      <c r="KK14" s="173"/>
      <c r="KL14" s="173"/>
      <c r="KM14" s="173"/>
      <c r="KN14" s="173"/>
      <c r="KO14" s="173"/>
      <c r="KP14" s="173"/>
      <c r="KQ14" s="173"/>
      <c r="KR14" s="173"/>
      <c r="KS14" s="173"/>
      <c r="KT14" s="173"/>
      <c r="KU14" s="173"/>
      <c r="KV14" s="173"/>
      <c r="KW14" s="173"/>
      <c r="KX14" s="173"/>
      <c r="KY14" s="173"/>
      <c r="KZ14" s="173"/>
      <c r="LA14" s="173"/>
      <c r="LB14" s="173"/>
      <c r="LC14" s="173"/>
      <c r="LD14" s="173"/>
      <c r="LE14" s="173"/>
      <c r="LF14" s="173"/>
      <c r="LG14" s="173"/>
      <c r="LH14" s="173"/>
      <c r="LI14" s="173"/>
      <c r="LJ14" s="173"/>
      <c r="LK14" s="173"/>
      <c r="LL14" s="173"/>
      <c r="LM14" s="173"/>
      <c r="LN14" s="173"/>
      <c r="LO14" s="173"/>
    </row>
    <row r="15" spans="1:327" s="73" customFormat="1" x14ac:dyDescent="0.2">
      <c r="A15" s="75" t="s">
        <v>85</v>
      </c>
      <c r="B15" s="93">
        <f>IF($F55&lt;$I$52,"",IF($F55&gt;$I$54,"",VLOOKUP($F55,SBPE_Mensal!$A$20:$G$526,2)))</f>
        <v>200808.99299999999</v>
      </c>
      <c r="C15" s="94">
        <f>IF(F55&lt;$I$52,"",IF(F55&gt;$I$54,"",VLOOKUP(F55,SBPE_Mensal!$A$20:$G$526,3)))</f>
        <v>170507.83199999999</v>
      </c>
      <c r="D15" s="95">
        <f>IF(F55&lt;$I$52,"",IF(F55&gt;$I$54,"",VLOOKUP(F55,SBPE_Mensal!$A$20:$G$526,4)))</f>
        <v>30301.160999999993</v>
      </c>
      <c r="E15" s="98">
        <f>IF(F55&lt;$I$52,"",IF(F55&gt;$I$54,"",VLOOKUP(F55,SBPE_Mensal!$A$20:$G$526,5)))</f>
        <v>4.4191679698750637</v>
      </c>
      <c r="F15" s="94">
        <f>IF(F55&lt;$I$52,"",IF(F55&gt;$I$54,"",VLOOKUP(F55,SBPE_Mensal!$A$20:$G$526,6)))</f>
        <v>1714.0260000000001</v>
      </c>
      <c r="G15" s="95">
        <f>IF(F55&lt;$I$52,"",IF(F55&gt;$I$54,"",VLOOKUP(F55,SBPE_Mensal!$A$20:$G$526,7)))</f>
        <v>717690.89899999998</v>
      </c>
      <c r="I15" s="85"/>
      <c r="J15" s="85"/>
      <c r="K15" s="85"/>
      <c r="L15" s="85"/>
      <c r="M15" s="85"/>
      <c r="N15" s="173"/>
      <c r="O15" s="184"/>
      <c r="P15" s="173"/>
      <c r="Q15" s="173"/>
      <c r="R15" s="173"/>
      <c r="S15" s="173"/>
      <c r="T15" s="172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  <c r="IW15" s="173"/>
      <c r="IX15" s="173"/>
      <c r="IY15" s="173"/>
      <c r="IZ15" s="173"/>
      <c r="JA15" s="173"/>
      <c r="JB15" s="173"/>
      <c r="JC15" s="173"/>
      <c r="JD15" s="173"/>
      <c r="JE15" s="173"/>
      <c r="JF15" s="173"/>
      <c r="JG15" s="173"/>
      <c r="JH15" s="173"/>
      <c r="JI15" s="173"/>
      <c r="JJ15" s="173"/>
      <c r="JK15" s="173"/>
      <c r="JL15" s="173"/>
      <c r="JM15" s="173"/>
      <c r="JN15" s="173"/>
      <c r="JO15" s="173"/>
      <c r="JP15" s="173"/>
      <c r="JQ15" s="173"/>
      <c r="JR15" s="173"/>
      <c r="JS15" s="173"/>
      <c r="JT15" s="173"/>
      <c r="JU15" s="173"/>
      <c r="JV15" s="173"/>
      <c r="JW15" s="173"/>
      <c r="JX15" s="173"/>
      <c r="JY15" s="173"/>
      <c r="JZ15" s="173"/>
      <c r="KA15" s="173"/>
      <c r="KB15" s="173"/>
      <c r="KC15" s="173"/>
      <c r="KD15" s="173"/>
      <c r="KE15" s="173"/>
      <c r="KF15" s="173"/>
      <c r="KG15" s="173"/>
      <c r="KH15" s="173"/>
      <c r="KI15" s="173"/>
      <c r="KJ15" s="173"/>
      <c r="KK15" s="173"/>
      <c r="KL15" s="173"/>
      <c r="KM15" s="173"/>
      <c r="KN15" s="173"/>
      <c r="KO15" s="173"/>
      <c r="KP15" s="173"/>
      <c r="KQ15" s="173"/>
      <c r="KR15" s="173"/>
      <c r="KS15" s="173"/>
      <c r="KT15" s="173"/>
      <c r="KU15" s="173"/>
      <c r="KV15" s="173"/>
      <c r="KW15" s="173"/>
      <c r="KX15" s="173"/>
      <c r="KY15" s="173"/>
      <c r="KZ15" s="173"/>
      <c r="LA15" s="173"/>
      <c r="LB15" s="173"/>
      <c r="LC15" s="173"/>
      <c r="LD15" s="173"/>
      <c r="LE15" s="173"/>
      <c r="LF15" s="173"/>
      <c r="LG15" s="173"/>
      <c r="LH15" s="173"/>
      <c r="LI15" s="173"/>
      <c r="LJ15" s="173"/>
      <c r="LK15" s="173"/>
      <c r="LL15" s="173"/>
      <c r="LM15" s="173"/>
      <c r="LN15" s="173"/>
      <c r="LO15" s="173"/>
    </row>
    <row r="16" spans="1:327" s="73" customFormat="1" x14ac:dyDescent="0.2">
      <c r="A16" s="75" t="s">
        <v>86</v>
      </c>
      <c r="B16" s="93">
        <f>IF($F56&lt;$I$52,"",IF($F56&gt;$I$54,"",VLOOKUP($F56,SBPE_Mensal!$A$20:$G$526,2)))</f>
        <v>219318.93400000001</v>
      </c>
      <c r="C16" s="94">
        <f>IF(F56&lt;$I$52,"",IF(F56&gt;$I$54,"",VLOOKUP(F56,SBPE_Mensal!$A$20:$G$526,3)))</f>
        <v>204883.60699999999</v>
      </c>
      <c r="D16" s="95">
        <f>IF(F56&lt;$I$52,"",IF(F56&gt;$I$54,"",VLOOKUP(F56,SBPE_Mensal!$A$20:$G$526,4)))</f>
        <v>14435.327000000019</v>
      </c>
      <c r="E16" s="98">
        <f>IF(F56&lt;$I$52,"",IF(F56&gt;$I$54,"",VLOOKUP(F56,SBPE_Mensal!$A$20:$G$526,5)))</f>
        <v>2.0113571204697722</v>
      </c>
      <c r="F16" s="94">
        <f>IF(F56&lt;$I$52,"",IF(F56&gt;$I$54,"",VLOOKUP(F56,SBPE_Mensal!$A$20:$G$526,6)))</f>
        <v>1580.424</v>
      </c>
      <c r="G16" s="95">
        <f>IF(F56&lt;$I$52,"",IF(F56&gt;$I$54,"",VLOOKUP(F56,SBPE_Mensal!$A$20:$G$526,7)))</f>
        <v>733706.66099999996</v>
      </c>
      <c r="I16" s="85"/>
      <c r="J16" s="85"/>
      <c r="K16" s="85"/>
      <c r="L16" s="85"/>
      <c r="M16" s="85"/>
      <c r="N16" s="173"/>
      <c r="O16" s="184"/>
      <c r="P16" s="173"/>
      <c r="Q16" s="173"/>
      <c r="R16" s="173"/>
      <c r="S16" s="173"/>
      <c r="T16" s="172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  <c r="IW16" s="173"/>
      <c r="IX16" s="173"/>
      <c r="IY16" s="173"/>
      <c r="IZ16" s="173"/>
      <c r="JA16" s="173"/>
      <c r="JB16" s="173"/>
      <c r="JC16" s="173"/>
      <c r="JD16" s="173"/>
      <c r="JE16" s="173"/>
      <c r="JF16" s="173"/>
      <c r="JG16" s="173"/>
      <c r="JH16" s="173"/>
      <c r="JI16" s="173"/>
      <c r="JJ16" s="173"/>
      <c r="JK16" s="173"/>
      <c r="JL16" s="173"/>
      <c r="JM16" s="173"/>
      <c r="JN16" s="173"/>
      <c r="JO16" s="173"/>
      <c r="JP16" s="173"/>
      <c r="JQ16" s="173"/>
      <c r="JR16" s="173"/>
      <c r="JS16" s="173"/>
      <c r="JT16" s="173"/>
      <c r="JU16" s="173"/>
      <c r="JV16" s="173"/>
      <c r="JW16" s="173"/>
      <c r="JX16" s="173"/>
      <c r="JY16" s="173"/>
      <c r="JZ16" s="173"/>
      <c r="KA16" s="173"/>
      <c r="KB16" s="173"/>
      <c r="KC16" s="173"/>
      <c r="KD16" s="173"/>
      <c r="KE16" s="173"/>
      <c r="KF16" s="173"/>
      <c r="KG16" s="173"/>
      <c r="KH16" s="173"/>
      <c r="KI16" s="173"/>
      <c r="KJ16" s="173"/>
      <c r="KK16" s="173"/>
      <c r="KL16" s="173"/>
      <c r="KM16" s="173"/>
      <c r="KN16" s="173"/>
      <c r="KO16" s="173"/>
      <c r="KP16" s="173"/>
      <c r="KQ16" s="173"/>
      <c r="KR16" s="173"/>
      <c r="KS16" s="173"/>
      <c r="KT16" s="173"/>
      <c r="KU16" s="173"/>
      <c r="KV16" s="173"/>
      <c r="KW16" s="173"/>
      <c r="KX16" s="173"/>
      <c r="KY16" s="173"/>
      <c r="KZ16" s="173"/>
      <c r="LA16" s="173"/>
      <c r="LB16" s="173"/>
      <c r="LC16" s="173"/>
      <c r="LD16" s="173"/>
      <c r="LE16" s="173"/>
      <c r="LF16" s="173"/>
      <c r="LG16" s="173"/>
      <c r="LH16" s="173"/>
      <c r="LI16" s="173"/>
      <c r="LJ16" s="173"/>
      <c r="LK16" s="173"/>
      <c r="LL16" s="173"/>
      <c r="LM16" s="173"/>
      <c r="LN16" s="173"/>
      <c r="LO16" s="173"/>
    </row>
    <row r="17" spans="1:327" s="73" customFormat="1" x14ac:dyDescent="0.2">
      <c r="A17" s="75" t="s">
        <v>87</v>
      </c>
      <c r="B17" s="93">
        <f>IF($F57&lt;$I$52,"",IF($F57&gt;$I$54,"",VLOOKUP($F57,SBPE_Mensal!$A$20:$G$526,2)))</f>
        <v>249052.24400000001</v>
      </c>
      <c r="C17" s="94">
        <f>IF(F57&lt;$I$52,"",IF(F57&gt;$I$54,"",VLOOKUP(F57,SBPE_Mensal!$A$20:$G$526,3)))</f>
        <v>226689.057</v>
      </c>
      <c r="D17" s="95">
        <f>IF(F57&lt;$I$52,"",IF(F57&gt;$I$54,"",VLOOKUP(F57,SBPE_Mensal!$A$20:$G$526,4)))</f>
        <v>22363.187000000005</v>
      </c>
      <c r="E17" s="98">
        <f>IF(F57&lt;$I$52,"",IF(F57&gt;$I$54,"",VLOOKUP(F57,SBPE_Mensal!$A$20:$G$526,5)))</f>
        <v>3.0479738277856532</v>
      </c>
      <c r="F17" s="94">
        <f>IF(F57&lt;$I$52,"",IF(F57&gt;$I$54,"",VLOOKUP(F57,SBPE_Mensal!$A$20:$G$526,6)))</f>
        <v>1466.039</v>
      </c>
      <c r="G17" s="95">
        <f>IF(F57&lt;$I$52,"",IF(F57&gt;$I$54,"",VLOOKUP(F57,SBPE_Mensal!$A$20:$G$526,7)))</f>
        <v>757535.89800000004</v>
      </c>
      <c r="I17" s="85"/>
      <c r="J17" s="129"/>
      <c r="K17" s="85"/>
      <c r="L17" s="85"/>
      <c r="M17" s="85"/>
      <c r="N17" s="173"/>
      <c r="O17" s="184"/>
      <c r="P17" s="173"/>
      <c r="Q17" s="173"/>
      <c r="R17" s="173"/>
      <c r="S17" s="173"/>
      <c r="T17" s="172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  <c r="IW17" s="173"/>
      <c r="IX17" s="173"/>
      <c r="IY17" s="173"/>
      <c r="IZ17" s="173"/>
      <c r="JA17" s="173"/>
      <c r="JB17" s="173"/>
      <c r="JC17" s="173"/>
      <c r="JD17" s="173"/>
      <c r="JE17" s="173"/>
      <c r="JF17" s="173"/>
      <c r="JG17" s="173"/>
      <c r="JH17" s="173"/>
      <c r="JI17" s="173"/>
      <c r="JJ17" s="173"/>
      <c r="JK17" s="173"/>
      <c r="JL17" s="173"/>
      <c r="JM17" s="173"/>
      <c r="JN17" s="173"/>
      <c r="JO17" s="173"/>
      <c r="JP17" s="173"/>
      <c r="JQ17" s="173"/>
      <c r="JR17" s="173"/>
      <c r="JS17" s="173"/>
      <c r="JT17" s="173"/>
      <c r="JU17" s="173"/>
      <c r="JV17" s="173"/>
      <c r="JW17" s="173"/>
      <c r="JX17" s="173"/>
      <c r="JY17" s="173"/>
      <c r="JZ17" s="173"/>
      <c r="KA17" s="173"/>
      <c r="KB17" s="173"/>
      <c r="KC17" s="173"/>
      <c r="KD17" s="173"/>
      <c r="KE17" s="173"/>
      <c r="KF17" s="173"/>
      <c r="KG17" s="173"/>
      <c r="KH17" s="173"/>
      <c r="KI17" s="173"/>
      <c r="KJ17" s="173"/>
      <c r="KK17" s="173"/>
      <c r="KL17" s="173"/>
      <c r="KM17" s="173"/>
      <c r="KN17" s="173"/>
      <c r="KO17" s="173"/>
      <c r="KP17" s="173"/>
      <c r="KQ17" s="173"/>
      <c r="KR17" s="173"/>
      <c r="KS17" s="173"/>
      <c r="KT17" s="173"/>
      <c r="KU17" s="173"/>
      <c r="KV17" s="173"/>
      <c r="KW17" s="173"/>
      <c r="KX17" s="173"/>
      <c r="KY17" s="173"/>
      <c r="KZ17" s="173"/>
      <c r="LA17" s="173"/>
      <c r="LB17" s="173"/>
      <c r="LC17" s="173"/>
      <c r="LD17" s="173"/>
      <c r="LE17" s="173"/>
      <c r="LF17" s="173"/>
      <c r="LG17" s="173"/>
      <c r="LH17" s="173"/>
      <c r="LI17" s="173"/>
      <c r="LJ17" s="173"/>
      <c r="LK17" s="173"/>
      <c r="LL17" s="173"/>
      <c r="LM17" s="173"/>
      <c r="LN17" s="173"/>
      <c r="LO17" s="173"/>
    </row>
    <row r="18" spans="1:327" s="73" customFormat="1" x14ac:dyDescent="0.2">
      <c r="A18" s="75" t="s">
        <v>88</v>
      </c>
      <c r="B18" s="93">
        <f>IF($F58&lt;$I$52,"",IF($F58&gt;$I$54,"",VLOOKUP($F58,SBPE_Mensal!$A$20:$G$526,2)))</f>
        <v>243925.64199999999</v>
      </c>
      <c r="C18" s="94">
        <f>IF(F58&lt;$I$52,"",IF(F58&gt;$I$54,"",VLOOKUP(F58,SBPE_Mensal!$A$20:$G$526,3)))</f>
        <v>235977.68700000001</v>
      </c>
      <c r="D18" s="95">
        <f>IF(F58&lt;$I$52,"",IF(F58&gt;$I$54,"",VLOOKUP(F58,SBPE_Mensal!$A$20:$G$526,4)))</f>
        <v>7947.9549999999872</v>
      </c>
      <c r="E18" s="98">
        <f>IF(F58&lt;$I$52,"",IF(F58&gt;$I$54,"",VLOOKUP(F58,SBPE_Mensal!$A$20:$G$526,5)))</f>
        <v>1.0491852625048783</v>
      </c>
      <c r="F18" s="94">
        <f>IF(F58&lt;$I$52,"",IF(F58&gt;$I$54,"",VLOOKUP(F58,SBPE_Mensal!$A$20:$G$526,6)))</f>
        <v>1332.4269999999999</v>
      </c>
      <c r="G18" s="95">
        <f>IF(F58&lt;$I$52,"",IF(F58&gt;$I$54,"",VLOOKUP(F58,SBPE_Mensal!$A$20:$G$526,7)))</f>
        <v>766816.29</v>
      </c>
      <c r="I18" s="85"/>
      <c r="J18" s="85"/>
      <c r="K18" s="85"/>
      <c r="L18" s="85"/>
      <c r="M18" s="85"/>
      <c r="N18" s="173"/>
      <c r="O18" s="184"/>
      <c r="P18" s="173"/>
      <c r="Q18" s="173"/>
      <c r="R18" s="173"/>
      <c r="S18" s="173"/>
      <c r="T18" s="172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  <c r="IW18" s="173"/>
      <c r="IX18" s="173"/>
      <c r="IY18" s="173"/>
      <c r="IZ18" s="173"/>
      <c r="JA18" s="173"/>
      <c r="JB18" s="173"/>
      <c r="JC18" s="173"/>
      <c r="JD18" s="173"/>
      <c r="JE18" s="173"/>
      <c r="JF18" s="173"/>
      <c r="JG18" s="173"/>
      <c r="JH18" s="173"/>
      <c r="JI18" s="173"/>
      <c r="JJ18" s="173"/>
      <c r="JK18" s="173"/>
      <c r="JL18" s="173"/>
      <c r="JM18" s="173"/>
      <c r="JN18" s="173"/>
      <c r="JO18" s="173"/>
      <c r="JP18" s="173"/>
      <c r="JQ18" s="173"/>
      <c r="JR18" s="173"/>
      <c r="JS18" s="173"/>
      <c r="JT18" s="173"/>
      <c r="JU18" s="173"/>
      <c r="JV18" s="173"/>
      <c r="JW18" s="173"/>
      <c r="JX18" s="173"/>
      <c r="JY18" s="173"/>
      <c r="JZ18" s="173"/>
      <c r="KA18" s="173"/>
      <c r="KB18" s="173"/>
      <c r="KC18" s="173"/>
      <c r="KD18" s="173"/>
      <c r="KE18" s="173"/>
      <c r="KF18" s="173"/>
      <c r="KG18" s="173"/>
      <c r="KH18" s="173"/>
      <c r="KI18" s="173"/>
      <c r="KJ18" s="173"/>
      <c r="KK18" s="173"/>
      <c r="KL18" s="173"/>
      <c r="KM18" s="173"/>
      <c r="KN18" s="173"/>
      <c r="KO18" s="173"/>
      <c r="KP18" s="173"/>
      <c r="KQ18" s="173"/>
      <c r="KR18" s="173"/>
      <c r="KS18" s="173"/>
      <c r="KT18" s="173"/>
      <c r="KU18" s="173"/>
      <c r="KV18" s="173"/>
      <c r="KW18" s="173"/>
      <c r="KX18" s="173"/>
      <c r="KY18" s="173"/>
      <c r="KZ18" s="173"/>
      <c r="LA18" s="173"/>
      <c r="LB18" s="173"/>
      <c r="LC18" s="173"/>
      <c r="LD18" s="173"/>
      <c r="LE18" s="173"/>
      <c r="LF18" s="173"/>
      <c r="LG18" s="173"/>
      <c r="LH18" s="173"/>
      <c r="LI18" s="173"/>
      <c r="LJ18" s="173"/>
      <c r="LK18" s="173"/>
      <c r="LL18" s="173"/>
      <c r="LM18" s="173"/>
      <c r="LN18" s="173"/>
      <c r="LO18" s="173"/>
    </row>
    <row r="19" spans="1:327" s="73" customFormat="1" x14ac:dyDescent="0.2">
      <c r="A19" s="75" t="s">
        <v>89</v>
      </c>
      <c r="B19" s="93">
        <f>IF($F59&lt;$I$52,"",IF($F59&gt;$I$54,"",VLOOKUP($F59,SBPE_Mensal!$A$20:$G$526,2)))</f>
        <v>0</v>
      </c>
      <c r="C19" s="94">
        <f>IF(F59&lt;$I$52,"",IF(F59&gt;$I$54,"",VLOOKUP(F59,SBPE_Mensal!$A$20:$G$526,3)))</f>
        <v>0</v>
      </c>
      <c r="D19" s="95">
        <f>IF(F59&lt;$I$52,"",IF(F59&gt;$I$54,"",VLOOKUP(F59,SBPE_Mensal!$A$20:$G$526,4)))</f>
        <v>0</v>
      </c>
      <c r="E19" s="98">
        <f>IF(F59&lt;$I$52,"",IF(F59&gt;$I$54,"",VLOOKUP(F59,SBPE_Mensal!$A$20:$G$526,5)))</f>
        <v>0</v>
      </c>
      <c r="F19" s="94">
        <f>IF(F59&lt;$I$52,"",IF(F59&gt;$I$54,"",VLOOKUP(F59,SBPE_Mensal!$A$20:$G$526,6)))</f>
        <v>0</v>
      </c>
      <c r="G19" s="95">
        <f>IF(F59&lt;$I$52,"",IF(F59&gt;$I$54,"",VLOOKUP(F59,SBPE_Mensal!$A$20:$G$526,7)))</f>
        <v>0</v>
      </c>
      <c r="I19" s="85"/>
      <c r="J19" s="85"/>
      <c r="K19" s="85"/>
      <c r="L19" s="85"/>
      <c r="M19" s="85"/>
      <c r="N19" s="173"/>
      <c r="O19" s="184"/>
      <c r="P19" s="173"/>
      <c r="Q19" s="173"/>
      <c r="R19" s="173"/>
      <c r="S19" s="173"/>
      <c r="T19" s="172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  <c r="IW19" s="173"/>
      <c r="IX19" s="173"/>
      <c r="IY19" s="173"/>
      <c r="IZ19" s="173"/>
      <c r="JA19" s="173"/>
      <c r="JB19" s="173"/>
      <c r="JC19" s="173"/>
      <c r="JD19" s="173"/>
      <c r="JE19" s="173"/>
      <c r="JF19" s="173"/>
      <c r="JG19" s="173"/>
      <c r="JH19" s="173"/>
      <c r="JI19" s="173"/>
      <c r="JJ19" s="173"/>
      <c r="JK19" s="173"/>
      <c r="JL19" s="173"/>
      <c r="JM19" s="173"/>
      <c r="JN19" s="173"/>
      <c r="JO19" s="173"/>
      <c r="JP19" s="173"/>
      <c r="JQ19" s="173"/>
      <c r="JR19" s="173"/>
      <c r="JS19" s="173"/>
      <c r="JT19" s="173"/>
      <c r="JU19" s="173"/>
      <c r="JV19" s="173"/>
      <c r="JW19" s="173"/>
      <c r="JX19" s="173"/>
      <c r="JY19" s="173"/>
      <c r="JZ19" s="173"/>
      <c r="KA19" s="173"/>
      <c r="KB19" s="173"/>
      <c r="KC19" s="173"/>
      <c r="KD19" s="173"/>
      <c r="KE19" s="173"/>
      <c r="KF19" s="173"/>
      <c r="KG19" s="173"/>
      <c r="KH19" s="173"/>
      <c r="KI19" s="173"/>
      <c r="KJ19" s="173"/>
      <c r="KK19" s="173"/>
      <c r="KL19" s="173"/>
      <c r="KM19" s="173"/>
      <c r="KN19" s="173"/>
      <c r="KO19" s="173"/>
      <c r="KP19" s="173"/>
      <c r="KQ19" s="173"/>
      <c r="KR19" s="173"/>
      <c r="KS19" s="173"/>
      <c r="KT19" s="173"/>
      <c r="KU19" s="173"/>
      <c r="KV19" s="173"/>
      <c r="KW19" s="173"/>
      <c r="KX19" s="173"/>
      <c r="KY19" s="173"/>
      <c r="KZ19" s="173"/>
      <c r="LA19" s="173"/>
      <c r="LB19" s="173"/>
      <c r="LC19" s="173"/>
      <c r="LD19" s="173"/>
      <c r="LE19" s="173"/>
      <c r="LF19" s="173"/>
      <c r="LG19" s="173"/>
      <c r="LH19" s="173"/>
      <c r="LI19" s="173"/>
      <c r="LJ19" s="173"/>
      <c r="LK19" s="173"/>
      <c r="LL19" s="173"/>
      <c r="LM19" s="173"/>
      <c r="LN19" s="173"/>
      <c r="LO19" s="173"/>
    </row>
    <row r="20" spans="1:327" s="73" customFormat="1" x14ac:dyDescent="0.2">
      <c r="A20" s="75" t="s">
        <v>90</v>
      </c>
      <c r="B20" s="93">
        <f>IF($F60&lt;$I$52,"",IF($F60&gt;$I$54,"",VLOOKUP($F60,SBPE_Mensal!$A$20:$G$526,2)))</f>
        <v>0</v>
      </c>
      <c r="C20" s="94">
        <f>IF(F60&lt;$I$52,"",IF(F60&gt;$I$54,"",VLOOKUP(F60,SBPE_Mensal!$A$20:$G$526,3)))</f>
        <v>0</v>
      </c>
      <c r="D20" s="95">
        <f>IF(F60&lt;$I$52,"",IF(F60&gt;$I$54,"",VLOOKUP(F60,SBPE_Mensal!$A$20:$G$526,4)))</f>
        <v>0</v>
      </c>
      <c r="E20" s="98" t="str">
        <f>IF(F60&lt;$I$52,"",IF(F60&gt;$I$54,"",VLOOKUP(F60,SBPE_Mensal!$A$20:$G$526,5)))</f>
        <v/>
      </c>
      <c r="F20" s="94">
        <f>IF(F60&lt;$I$52,"",IF(F60&gt;$I$54,"",VLOOKUP(F60,SBPE_Mensal!$A$20:$G$526,6)))</f>
        <v>0</v>
      </c>
      <c r="G20" s="95">
        <f>IF(F60&lt;$I$52,"",IF(F60&gt;$I$54,"",VLOOKUP(F60,SBPE_Mensal!$A$20:$G$526,7)))</f>
        <v>0</v>
      </c>
      <c r="I20" s="85"/>
      <c r="J20" s="85"/>
      <c r="K20" s="85"/>
      <c r="L20" s="85"/>
      <c r="M20" s="85"/>
      <c r="N20" s="173"/>
      <c r="O20" s="184"/>
      <c r="P20" s="173"/>
      <c r="Q20" s="173"/>
      <c r="R20" s="173"/>
      <c r="S20" s="173"/>
      <c r="T20" s="172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  <c r="IW20" s="173"/>
      <c r="IX20" s="173"/>
      <c r="IY20" s="173"/>
      <c r="IZ20" s="173"/>
      <c r="JA20" s="173"/>
      <c r="JB20" s="173"/>
      <c r="JC20" s="173"/>
      <c r="JD20" s="173"/>
      <c r="JE20" s="173"/>
      <c r="JF20" s="173"/>
      <c r="JG20" s="173"/>
      <c r="JH20" s="173"/>
      <c r="JI20" s="173"/>
      <c r="JJ20" s="173"/>
      <c r="JK20" s="173"/>
      <c r="JL20" s="173"/>
      <c r="JM20" s="173"/>
      <c r="JN20" s="173"/>
      <c r="JO20" s="173"/>
      <c r="JP20" s="173"/>
      <c r="JQ20" s="173"/>
      <c r="JR20" s="173"/>
      <c r="JS20" s="173"/>
      <c r="JT20" s="173"/>
      <c r="JU20" s="173"/>
      <c r="JV20" s="173"/>
      <c r="JW20" s="173"/>
      <c r="JX20" s="173"/>
      <c r="JY20" s="173"/>
      <c r="JZ20" s="173"/>
      <c r="KA20" s="173"/>
      <c r="KB20" s="173"/>
      <c r="KC20" s="173"/>
      <c r="KD20" s="173"/>
      <c r="KE20" s="173"/>
      <c r="KF20" s="173"/>
      <c r="KG20" s="173"/>
      <c r="KH20" s="173"/>
      <c r="KI20" s="173"/>
      <c r="KJ20" s="173"/>
      <c r="KK20" s="173"/>
      <c r="KL20" s="173"/>
      <c r="KM20" s="173"/>
      <c r="KN20" s="173"/>
      <c r="KO20" s="173"/>
      <c r="KP20" s="173"/>
      <c r="KQ20" s="173"/>
      <c r="KR20" s="173"/>
      <c r="KS20" s="173"/>
      <c r="KT20" s="173"/>
      <c r="KU20" s="173"/>
      <c r="KV20" s="173"/>
      <c r="KW20" s="173"/>
      <c r="KX20" s="173"/>
      <c r="KY20" s="173"/>
      <c r="KZ20" s="173"/>
      <c r="LA20" s="173"/>
      <c r="LB20" s="173"/>
      <c r="LC20" s="173"/>
      <c r="LD20" s="173"/>
      <c r="LE20" s="173"/>
      <c r="LF20" s="173"/>
      <c r="LG20" s="173"/>
      <c r="LH20" s="173"/>
      <c r="LI20" s="173"/>
      <c r="LJ20" s="173"/>
      <c r="LK20" s="173"/>
      <c r="LL20" s="173"/>
      <c r="LM20" s="173"/>
      <c r="LN20" s="173"/>
      <c r="LO20" s="173"/>
    </row>
    <row r="21" spans="1:327" s="73" customFormat="1" x14ac:dyDescent="0.2">
      <c r="A21" s="75" t="s">
        <v>91</v>
      </c>
      <c r="B21" s="93">
        <f>IF($F61&lt;$I$52,"",IF($F61&gt;$I$54,"",VLOOKUP($F61,SBPE_Mensal!$A$20:$G$526,2)))</f>
        <v>0</v>
      </c>
      <c r="C21" s="94">
        <f>IF(F61&lt;$I$52,"",IF(F61&gt;$I$54,"",VLOOKUP(F61,SBPE_Mensal!$A$20:$G$526,3)))</f>
        <v>0</v>
      </c>
      <c r="D21" s="95">
        <f>IF(F61&lt;$I$52,"",IF(F61&gt;$I$54,"",VLOOKUP(F61,SBPE_Mensal!$A$20:$G$526,4)))</f>
        <v>0</v>
      </c>
      <c r="E21" s="98" t="str">
        <f>IF(F61&lt;$I$52,"",IF(F61&gt;$I$54,"",VLOOKUP(F61,SBPE_Mensal!$A$20:$G$526,5)))</f>
        <v/>
      </c>
      <c r="F21" s="94">
        <f>IF(F61&lt;$I$52,"",IF(F61&gt;$I$54,"",VLOOKUP(F61,SBPE_Mensal!$A$20:$G$526,6)))</f>
        <v>0</v>
      </c>
      <c r="G21" s="95">
        <f>IF(F61&lt;$I$52,"",IF(F61&gt;$I$54,"",VLOOKUP(F61,SBPE_Mensal!$A$20:$G$526,7)))</f>
        <v>0</v>
      </c>
      <c r="I21" s="85"/>
      <c r="J21" s="85"/>
      <c r="K21" s="85"/>
      <c r="L21" s="85"/>
      <c r="M21" s="85"/>
      <c r="N21" s="173"/>
      <c r="O21" s="184"/>
      <c r="P21" s="173"/>
      <c r="Q21" s="173"/>
      <c r="R21" s="173"/>
      <c r="S21" s="173"/>
      <c r="T21" s="174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  <c r="IW21" s="173"/>
      <c r="IX21" s="173"/>
      <c r="IY21" s="173"/>
      <c r="IZ21" s="173"/>
      <c r="JA21" s="173"/>
      <c r="JB21" s="173"/>
      <c r="JC21" s="173"/>
      <c r="JD21" s="173"/>
      <c r="JE21" s="173"/>
      <c r="JF21" s="173"/>
      <c r="JG21" s="173"/>
      <c r="JH21" s="173"/>
      <c r="JI21" s="173"/>
      <c r="JJ21" s="173"/>
      <c r="JK21" s="173"/>
      <c r="JL21" s="173"/>
      <c r="JM21" s="173"/>
      <c r="JN21" s="173"/>
      <c r="JO21" s="173"/>
      <c r="JP21" s="173"/>
      <c r="JQ21" s="173"/>
      <c r="JR21" s="173"/>
      <c r="JS21" s="173"/>
      <c r="JT21" s="173"/>
      <c r="JU21" s="173"/>
      <c r="JV21" s="173"/>
      <c r="JW21" s="173"/>
      <c r="JX21" s="173"/>
      <c r="JY21" s="173"/>
      <c r="JZ21" s="173"/>
      <c r="KA21" s="173"/>
      <c r="KB21" s="173"/>
      <c r="KC21" s="173"/>
      <c r="KD21" s="173"/>
      <c r="KE21" s="173"/>
      <c r="KF21" s="173"/>
      <c r="KG21" s="173"/>
      <c r="KH21" s="173"/>
      <c r="KI21" s="173"/>
      <c r="KJ21" s="173"/>
      <c r="KK21" s="173"/>
      <c r="KL21" s="173"/>
      <c r="KM21" s="173"/>
      <c r="KN21" s="173"/>
      <c r="KO21" s="173"/>
      <c r="KP21" s="173"/>
      <c r="KQ21" s="173"/>
      <c r="KR21" s="173"/>
      <c r="KS21" s="173"/>
      <c r="KT21" s="173"/>
      <c r="KU21" s="173"/>
      <c r="KV21" s="173"/>
      <c r="KW21" s="173"/>
      <c r="KX21" s="173"/>
      <c r="KY21" s="173"/>
      <c r="KZ21" s="173"/>
      <c r="LA21" s="173"/>
      <c r="LB21" s="173"/>
      <c r="LC21" s="173"/>
      <c r="LD21" s="173"/>
      <c r="LE21" s="173"/>
      <c r="LF21" s="173"/>
      <c r="LG21" s="173"/>
      <c r="LH21" s="173"/>
      <c r="LI21" s="173"/>
      <c r="LJ21" s="173"/>
      <c r="LK21" s="173"/>
      <c r="LL21" s="173"/>
      <c r="LM21" s="173"/>
      <c r="LN21" s="173"/>
      <c r="LO21" s="173"/>
    </row>
    <row r="22" spans="1:327" s="73" customFormat="1" x14ac:dyDescent="0.2">
      <c r="A22" s="75" t="s">
        <v>92</v>
      </c>
      <c r="B22" s="93">
        <f>IF($F62&lt;$I$52,"",IF($F62&gt;$I$54,"",VLOOKUP($F62,SBPE_Mensal!$A$20:$G$526,2)))</f>
        <v>0</v>
      </c>
      <c r="C22" s="94">
        <f>IF(F62&lt;$I$52,"",IF(F62&gt;$I$54,"",VLOOKUP(F62,SBPE_Mensal!$A$20:$G$526,3)))</f>
        <v>0</v>
      </c>
      <c r="D22" s="95">
        <f>IF(F62&lt;$I$52,"",IF(F62&gt;$I$54,"",VLOOKUP(F62,SBPE_Mensal!$A$20:$G$526,4)))</f>
        <v>0</v>
      </c>
      <c r="E22" s="98" t="str">
        <f>IF(F62&lt;$I$52,"",IF(F62&gt;$I$54,"",VLOOKUP(F62,SBPE_Mensal!$A$20:$G$526,5)))</f>
        <v/>
      </c>
      <c r="F22" s="94">
        <f>IF(F62&lt;$I$52,"",IF(F62&gt;$I$54,"",VLOOKUP(F62,SBPE_Mensal!$A$20:$G$526,6)))</f>
        <v>0</v>
      </c>
      <c r="G22" s="95">
        <f>IF(F62&lt;$I$52,"",IF(F62&gt;$I$54,"",VLOOKUP(F62,SBPE_Mensal!$A$20:$G$526,7)))</f>
        <v>0</v>
      </c>
      <c r="I22" s="85"/>
      <c r="J22" s="85"/>
      <c r="K22" s="85"/>
      <c r="L22" s="85"/>
      <c r="M22" s="85"/>
      <c r="N22" s="173"/>
      <c r="O22" s="184"/>
      <c r="P22" s="173"/>
      <c r="Q22" s="173"/>
      <c r="R22" s="173"/>
      <c r="S22" s="173"/>
      <c r="T22" s="174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  <c r="IW22" s="173"/>
      <c r="IX22" s="173"/>
      <c r="IY22" s="173"/>
      <c r="IZ22" s="173"/>
      <c r="JA22" s="173"/>
      <c r="JB22" s="173"/>
      <c r="JC22" s="173"/>
      <c r="JD22" s="173"/>
      <c r="JE22" s="173"/>
      <c r="JF22" s="173"/>
      <c r="JG22" s="173"/>
      <c r="JH22" s="173"/>
      <c r="JI22" s="173"/>
      <c r="JJ22" s="173"/>
      <c r="JK22" s="173"/>
      <c r="JL22" s="173"/>
      <c r="JM22" s="173"/>
      <c r="JN22" s="173"/>
      <c r="JO22" s="173"/>
      <c r="JP22" s="173"/>
      <c r="JQ22" s="173"/>
      <c r="JR22" s="173"/>
      <c r="JS22" s="173"/>
      <c r="JT22" s="173"/>
      <c r="JU22" s="173"/>
      <c r="JV22" s="173"/>
      <c r="JW22" s="173"/>
      <c r="JX22" s="173"/>
      <c r="JY22" s="173"/>
      <c r="JZ22" s="173"/>
      <c r="KA22" s="173"/>
      <c r="KB22" s="173"/>
      <c r="KC22" s="173"/>
      <c r="KD22" s="173"/>
      <c r="KE22" s="173"/>
      <c r="KF22" s="173"/>
      <c r="KG22" s="173"/>
      <c r="KH22" s="173"/>
      <c r="KI22" s="173"/>
      <c r="KJ22" s="173"/>
      <c r="KK22" s="173"/>
      <c r="KL22" s="173"/>
      <c r="KM22" s="173"/>
      <c r="KN22" s="173"/>
      <c r="KO22" s="173"/>
      <c r="KP22" s="173"/>
      <c r="KQ22" s="173"/>
      <c r="KR22" s="173"/>
      <c r="KS22" s="173"/>
      <c r="KT22" s="173"/>
      <c r="KU22" s="173"/>
      <c r="KV22" s="173"/>
      <c r="KW22" s="173"/>
      <c r="KX22" s="173"/>
      <c r="KY22" s="173"/>
      <c r="KZ22" s="173"/>
      <c r="LA22" s="173"/>
      <c r="LB22" s="173"/>
      <c r="LC22" s="173"/>
      <c r="LD22" s="173"/>
      <c r="LE22" s="173"/>
      <c r="LF22" s="173"/>
      <c r="LG22" s="173"/>
      <c r="LH22" s="173"/>
      <c r="LI22" s="173"/>
      <c r="LJ22" s="173"/>
      <c r="LK22" s="173"/>
      <c r="LL22" s="173"/>
      <c r="LM22" s="173"/>
      <c r="LN22" s="173"/>
      <c r="LO22" s="173"/>
    </row>
    <row r="23" spans="1:327" s="73" customFormat="1" x14ac:dyDescent="0.2">
      <c r="A23" s="76" t="str">
        <f>CONCATENATE(M51,".",$O$4)</f>
        <v>Total.2020</v>
      </c>
      <c r="B23" s="96">
        <f>SUM(B11:B22)</f>
        <v>1633209.1359999999</v>
      </c>
      <c r="C23" s="96">
        <f>SUM(C11:C22)</f>
        <v>1537403.746</v>
      </c>
      <c r="D23" s="97">
        <f>SUM(D11:D22)</f>
        <v>95805.390000000043</v>
      </c>
      <c r="E23" s="99">
        <f>(D23/SBPE_Mensal!G513*100)</f>
        <v>14.570465209783844</v>
      </c>
      <c r="F23" s="96">
        <f>SUM(F11:F22)</f>
        <v>13479.370999999999</v>
      </c>
      <c r="G23" s="96">
        <f>VLOOKUP(A23,SBPE_Mensal!A20:G526,7)</f>
        <v>766816.29</v>
      </c>
      <c r="I23" s="85"/>
      <c r="J23" s="85"/>
      <c r="K23" s="85"/>
      <c r="L23" s="85"/>
      <c r="M23" s="85"/>
      <c r="N23" s="85"/>
      <c r="O23" s="184"/>
      <c r="P23" s="85"/>
      <c r="Q23" s="85"/>
      <c r="R23" s="85"/>
      <c r="S23" s="85"/>
      <c r="T23" s="119"/>
      <c r="U23" s="85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  <c r="IW23" s="173"/>
      <c r="IX23" s="173"/>
      <c r="IY23" s="173"/>
      <c r="IZ23" s="173"/>
      <c r="JA23" s="173"/>
      <c r="JB23" s="173"/>
      <c r="JC23" s="173"/>
      <c r="JD23" s="173"/>
      <c r="JE23" s="173"/>
      <c r="JF23" s="173"/>
      <c r="JG23" s="173"/>
      <c r="JH23" s="173"/>
      <c r="JI23" s="173"/>
      <c r="JJ23" s="173"/>
      <c r="JK23" s="173"/>
      <c r="JL23" s="173"/>
      <c r="JM23" s="173"/>
      <c r="JN23" s="173"/>
      <c r="JO23" s="173"/>
      <c r="JP23" s="173"/>
      <c r="JQ23" s="173"/>
      <c r="JR23" s="173"/>
      <c r="JS23" s="173"/>
      <c r="JT23" s="173"/>
      <c r="JU23" s="173"/>
      <c r="JV23" s="173"/>
      <c r="JW23" s="173"/>
      <c r="JX23" s="173"/>
      <c r="JY23" s="173"/>
      <c r="JZ23" s="173"/>
      <c r="KA23" s="173"/>
      <c r="KB23" s="173"/>
      <c r="KC23" s="173"/>
      <c r="KD23" s="173"/>
      <c r="KE23" s="173"/>
      <c r="KF23" s="173"/>
      <c r="KG23" s="173"/>
      <c r="KH23" s="173"/>
      <c r="KI23" s="173"/>
      <c r="KJ23" s="173"/>
      <c r="KK23" s="173"/>
      <c r="KL23" s="173"/>
      <c r="KM23" s="173"/>
      <c r="KN23" s="173"/>
      <c r="KO23" s="173"/>
      <c r="KP23" s="173"/>
      <c r="KQ23" s="173"/>
      <c r="KR23" s="173"/>
      <c r="KS23" s="173"/>
      <c r="KT23" s="173"/>
      <c r="KU23" s="173"/>
      <c r="KV23" s="173"/>
      <c r="KW23" s="173"/>
      <c r="KX23" s="173"/>
      <c r="KY23" s="173"/>
      <c r="KZ23" s="173"/>
      <c r="LA23" s="173"/>
      <c r="LB23" s="173"/>
      <c r="LC23" s="173"/>
      <c r="LD23" s="173"/>
      <c r="LE23" s="173"/>
      <c r="LF23" s="173"/>
      <c r="LG23" s="173"/>
      <c r="LH23" s="173"/>
      <c r="LI23" s="173"/>
      <c r="LJ23" s="173"/>
      <c r="LK23" s="173"/>
      <c r="LL23" s="173"/>
      <c r="LM23" s="173"/>
      <c r="LN23" s="173"/>
      <c r="LO23" s="173"/>
    </row>
    <row r="24" spans="1:327" x14ac:dyDescent="0.2">
      <c r="A24" s="105" t="s">
        <v>104</v>
      </c>
      <c r="B24" s="83"/>
      <c r="C24" s="83"/>
      <c r="D24" s="83"/>
      <c r="E24" s="83"/>
      <c r="F24" s="83"/>
      <c r="G24" s="83"/>
      <c r="I24" s="86"/>
      <c r="J24" s="86"/>
      <c r="K24" s="86"/>
      <c r="L24" s="86"/>
      <c r="M24" s="86"/>
      <c r="N24" s="86"/>
      <c r="O24" s="149"/>
      <c r="P24" s="86"/>
      <c r="Q24" s="86"/>
      <c r="R24" s="86"/>
      <c r="S24" s="86"/>
      <c r="T24" s="119"/>
      <c r="U24" s="86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  <c r="IL24" s="172"/>
      <c r="IM24" s="172"/>
      <c r="IN24" s="172"/>
      <c r="IO24" s="172"/>
      <c r="IP24" s="172"/>
      <c r="IQ24" s="172"/>
      <c r="IR24" s="172"/>
      <c r="IS24" s="172"/>
      <c r="IT24" s="172"/>
      <c r="IU24" s="172"/>
      <c r="IV24" s="172"/>
      <c r="IW24" s="172"/>
      <c r="IX24" s="172"/>
      <c r="IY24" s="172"/>
      <c r="IZ24" s="172"/>
      <c r="JA24" s="172"/>
      <c r="JB24" s="172"/>
      <c r="JC24" s="172"/>
      <c r="JD24" s="172"/>
      <c r="JE24" s="172"/>
      <c r="JF24" s="172"/>
      <c r="JG24" s="172"/>
      <c r="JH24" s="172"/>
      <c r="JI24" s="172"/>
      <c r="JJ24" s="172"/>
      <c r="JK24" s="172"/>
      <c r="JL24" s="172"/>
      <c r="JM24" s="172"/>
      <c r="JN24" s="172"/>
      <c r="JO24" s="172"/>
      <c r="JP24" s="172"/>
      <c r="JQ24" s="172"/>
      <c r="JR24" s="172"/>
      <c r="JS24" s="172"/>
      <c r="JT24" s="172"/>
      <c r="JU24" s="172"/>
      <c r="JV24" s="172"/>
      <c r="JW24" s="172"/>
      <c r="JX24" s="172"/>
      <c r="JY24" s="172"/>
      <c r="JZ24" s="172"/>
      <c r="KA24" s="172"/>
      <c r="KB24" s="172"/>
      <c r="KC24" s="172"/>
      <c r="KD24" s="172"/>
      <c r="KE24" s="172"/>
      <c r="KF24" s="172"/>
      <c r="KG24" s="172"/>
      <c r="KH24" s="172"/>
      <c r="KI24" s="172"/>
      <c r="KJ24" s="172"/>
      <c r="KK24" s="172"/>
      <c r="KL24" s="172"/>
      <c r="KM24" s="172"/>
      <c r="KN24" s="172"/>
      <c r="KO24" s="172"/>
      <c r="KP24" s="172"/>
      <c r="KQ24" s="172"/>
      <c r="KR24" s="172"/>
      <c r="KS24" s="172"/>
      <c r="KT24" s="172"/>
      <c r="KU24" s="172"/>
      <c r="KV24" s="172"/>
      <c r="KW24" s="172"/>
      <c r="KX24" s="172"/>
      <c r="KY24" s="172"/>
      <c r="KZ24" s="172"/>
      <c r="LA24" s="172"/>
      <c r="LB24" s="172"/>
      <c r="LC24" s="172"/>
      <c r="LD24" s="172"/>
      <c r="LE24" s="172"/>
      <c r="LF24" s="172"/>
      <c r="LG24" s="172"/>
      <c r="LH24" s="172"/>
      <c r="LI24" s="172"/>
      <c r="LJ24" s="172"/>
      <c r="LK24" s="172"/>
      <c r="LL24" s="172"/>
      <c r="LM24" s="172"/>
      <c r="LN24" s="172"/>
      <c r="LO24" s="172"/>
    </row>
    <row r="25" spans="1:327" s="122" customFormat="1" x14ac:dyDescent="0.2">
      <c r="A25" s="120"/>
      <c r="B25" s="121"/>
      <c r="C25" s="121"/>
      <c r="D25" s="121"/>
      <c r="E25" s="121"/>
      <c r="F25" s="121"/>
      <c r="G25" s="121"/>
      <c r="O25" s="147"/>
      <c r="T25" s="123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  <c r="IL25" s="171"/>
      <c r="IM25" s="171"/>
      <c r="IN25" s="171"/>
      <c r="IO25" s="171"/>
      <c r="IP25" s="171"/>
      <c r="IQ25" s="171"/>
      <c r="IR25" s="171"/>
      <c r="IS25" s="171"/>
      <c r="IT25" s="171"/>
      <c r="IU25" s="171"/>
      <c r="IV25" s="171"/>
      <c r="IW25" s="171"/>
      <c r="IX25" s="171"/>
      <c r="IY25" s="171"/>
      <c r="IZ25" s="171"/>
      <c r="JA25" s="171"/>
      <c r="JB25" s="171"/>
      <c r="JC25" s="171"/>
      <c r="JD25" s="171"/>
      <c r="JE25" s="171"/>
      <c r="JF25" s="171"/>
      <c r="JG25" s="171"/>
      <c r="JH25" s="171"/>
      <c r="JI25" s="171"/>
      <c r="JJ25" s="171"/>
      <c r="JK25" s="171"/>
      <c r="JL25" s="171"/>
      <c r="JM25" s="171"/>
      <c r="JN25" s="171"/>
      <c r="JO25" s="171"/>
      <c r="JP25" s="171"/>
      <c r="JQ25" s="171"/>
      <c r="JR25" s="171"/>
      <c r="JS25" s="171"/>
      <c r="JT25" s="171"/>
      <c r="JU25" s="171"/>
      <c r="JV25" s="171"/>
      <c r="JW25" s="171"/>
      <c r="JX25" s="171"/>
      <c r="JY25" s="171"/>
      <c r="JZ25" s="171"/>
      <c r="KA25" s="171"/>
      <c r="KB25" s="171"/>
      <c r="KC25" s="171"/>
      <c r="KD25" s="171"/>
      <c r="KE25" s="171"/>
      <c r="KF25" s="171"/>
      <c r="KG25" s="171"/>
      <c r="KH25" s="171"/>
      <c r="KI25" s="171"/>
      <c r="KJ25" s="171"/>
      <c r="KK25" s="171"/>
      <c r="KL25" s="171"/>
      <c r="KM25" s="171"/>
      <c r="KN25" s="171"/>
      <c r="KO25" s="171"/>
      <c r="KP25" s="171"/>
      <c r="KQ25" s="171"/>
      <c r="KR25" s="171"/>
      <c r="KS25" s="171"/>
      <c r="KT25" s="171"/>
      <c r="KU25" s="171"/>
      <c r="KV25" s="171"/>
      <c r="KW25" s="171"/>
      <c r="KX25" s="171"/>
      <c r="KY25" s="171"/>
      <c r="KZ25" s="171"/>
      <c r="LA25" s="171"/>
      <c r="LB25" s="171"/>
      <c r="LC25" s="171"/>
      <c r="LD25" s="171"/>
      <c r="LE25" s="171"/>
      <c r="LF25" s="171"/>
      <c r="LG25" s="171"/>
      <c r="LH25" s="171"/>
      <c r="LI25" s="171"/>
      <c r="LJ25" s="171"/>
      <c r="LK25" s="171"/>
      <c r="LL25" s="171"/>
      <c r="LM25" s="171"/>
      <c r="LN25" s="171"/>
      <c r="LO25" s="171"/>
    </row>
    <row r="26" spans="1:327" s="122" customFormat="1" x14ac:dyDescent="0.2">
      <c r="A26" s="84"/>
      <c r="B26" s="121"/>
      <c r="C26" s="121"/>
      <c r="D26" s="121"/>
      <c r="E26" s="121"/>
      <c r="F26" s="121"/>
      <c r="G26" s="121"/>
      <c r="L26" s="130"/>
      <c r="O26" s="147"/>
      <c r="T26" s="123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  <c r="IJ26" s="171"/>
      <c r="IK26" s="171"/>
      <c r="IL26" s="171"/>
      <c r="IM26" s="171"/>
      <c r="IN26" s="171"/>
      <c r="IO26" s="171"/>
      <c r="IP26" s="171"/>
      <c r="IQ26" s="171"/>
      <c r="IR26" s="171"/>
      <c r="IS26" s="171"/>
      <c r="IT26" s="171"/>
      <c r="IU26" s="171"/>
      <c r="IV26" s="171"/>
      <c r="IW26" s="171"/>
      <c r="IX26" s="171"/>
      <c r="IY26" s="171"/>
      <c r="IZ26" s="171"/>
      <c r="JA26" s="171"/>
      <c r="JB26" s="171"/>
      <c r="JC26" s="171"/>
      <c r="JD26" s="171"/>
      <c r="JE26" s="171"/>
      <c r="JF26" s="171"/>
      <c r="JG26" s="171"/>
      <c r="JH26" s="171"/>
      <c r="JI26" s="171"/>
      <c r="JJ26" s="171"/>
      <c r="JK26" s="171"/>
      <c r="JL26" s="171"/>
      <c r="JM26" s="171"/>
      <c r="JN26" s="171"/>
      <c r="JO26" s="171"/>
      <c r="JP26" s="171"/>
      <c r="JQ26" s="171"/>
      <c r="JR26" s="171"/>
      <c r="JS26" s="171"/>
      <c r="JT26" s="171"/>
      <c r="JU26" s="171"/>
      <c r="JV26" s="171"/>
      <c r="JW26" s="171"/>
      <c r="JX26" s="171"/>
      <c r="JY26" s="171"/>
      <c r="JZ26" s="171"/>
      <c r="KA26" s="171"/>
      <c r="KB26" s="171"/>
      <c r="KC26" s="171"/>
      <c r="KD26" s="171"/>
      <c r="KE26" s="171"/>
      <c r="KF26" s="171"/>
      <c r="KG26" s="171"/>
      <c r="KH26" s="171"/>
      <c r="KI26" s="171"/>
      <c r="KJ26" s="171"/>
      <c r="KK26" s="171"/>
      <c r="KL26" s="171"/>
      <c r="KM26" s="171"/>
      <c r="KN26" s="171"/>
      <c r="KO26" s="171"/>
      <c r="KP26" s="171"/>
      <c r="KQ26" s="171"/>
      <c r="KR26" s="171"/>
      <c r="KS26" s="171"/>
      <c r="KT26" s="171"/>
      <c r="KU26" s="171"/>
      <c r="KV26" s="171"/>
      <c r="KW26" s="171"/>
      <c r="KX26" s="171"/>
      <c r="KY26" s="171"/>
      <c r="KZ26" s="171"/>
      <c r="LA26" s="171"/>
      <c r="LB26" s="171"/>
      <c r="LC26" s="171"/>
      <c r="LD26" s="171"/>
      <c r="LE26" s="171"/>
      <c r="LF26" s="171"/>
      <c r="LG26" s="171"/>
      <c r="LH26" s="171"/>
      <c r="LI26" s="171"/>
      <c r="LJ26" s="171"/>
      <c r="LK26" s="171"/>
      <c r="LL26" s="171"/>
      <c r="LM26" s="171"/>
      <c r="LN26" s="171"/>
      <c r="LO26" s="171"/>
    </row>
    <row r="27" spans="1:327" s="122" customFormat="1" x14ac:dyDescent="0.2">
      <c r="A27" s="124"/>
      <c r="B27" s="121"/>
      <c r="C27" s="121"/>
      <c r="D27" s="121"/>
      <c r="E27" s="121"/>
      <c r="F27" s="121"/>
      <c r="G27" s="121"/>
      <c r="L27" s="130"/>
      <c r="O27" s="147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  <c r="IJ27" s="171"/>
      <c r="IK27" s="171"/>
      <c r="IL27" s="171"/>
      <c r="IM27" s="171"/>
      <c r="IN27" s="171"/>
      <c r="IO27" s="171"/>
      <c r="IP27" s="171"/>
      <c r="IQ27" s="171"/>
      <c r="IR27" s="171"/>
      <c r="IS27" s="171"/>
      <c r="IT27" s="171"/>
      <c r="IU27" s="171"/>
      <c r="IV27" s="171"/>
      <c r="IW27" s="171"/>
      <c r="IX27" s="171"/>
      <c r="IY27" s="171"/>
      <c r="IZ27" s="171"/>
      <c r="JA27" s="171"/>
      <c r="JB27" s="171"/>
      <c r="JC27" s="171"/>
      <c r="JD27" s="171"/>
      <c r="JE27" s="171"/>
      <c r="JF27" s="171"/>
      <c r="JG27" s="171"/>
      <c r="JH27" s="171"/>
      <c r="JI27" s="171"/>
      <c r="JJ27" s="171"/>
      <c r="JK27" s="171"/>
      <c r="JL27" s="171"/>
      <c r="JM27" s="171"/>
      <c r="JN27" s="171"/>
      <c r="JO27" s="171"/>
      <c r="JP27" s="171"/>
      <c r="JQ27" s="171"/>
      <c r="JR27" s="171"/>
      <c r="JS27" s="171"/>
      <c r="JT27" s="171"/>
      <c r="JU27" s="171"/>
      <c r="JV27" s="171"/>
      <c r="JW27" s="171"/>
      <c r="JX27" s="171"/>
      <c r="JY27" s="171"/>
      <c r="JZ27" s="171"/>
      <c r="KA27" s="171"/>
      <c r="KB27" s="171"/>
      <c r="KC27" s="171"/>
      <c r="KD27" s="171"/>
      <c r="KE27" s="171"/>
      <c r="KF27" s="171"/>
      <c r="KG27" s="171"/>
      <c r="KH27" s="171"/>
      <c r="KI27" s="171"/>
      <c r="KJ27" s="171"/>
      <c r="KK27" s="171"/>
      <c r="KL27" s="171"/>
      <c r="KM27" s="171"/>
      <c r="KN27" s="171"/>
      <c r="KO27" s="171"/>
      <c r="KP27" s="171"/>
      <c r="KQ27" s="171"/>
      <c r="KR27" s="171"/>
      <c r="KS27" s="171"/>
      <c r="KT27" s="171"/>
      <c r="KU27" s="171"/>
      <c r="KV27" s="171"/>
      <c r="KW27" s="171"/>
      <c r="KX27" s="171"/>
      <c r="KY27" s="171"/>
      <c r="KZ27" s="171"/>
      <c r="LA27" s="171"/>
      <c r="LB27" s="171"/>
      <c r="LC27" s="171"/>
      <c r="LD27" s="171"/>
      <c r="LE27" s="171"/>
      <c r="LF27" s="171"/>
      <c r="LG27" s="171"/>
      <c r="LH27" s="171"/>
      <c r="LI27" s="171"/>
      <c r="LJ27" s="171"/>
      <c r="LK27" s="171"/>
      <c r="LL27" s="171"/>
      <c r="LM27" s="171"/>
      <c r="LN27" s="171"/>
      <c r="LO27" s="171"/>
    </row>
    <row r="28" spans="1:327" s="122" customFormat="1" x14ac:dyDescent="0.2">
      <c r="A28" s="124"/>
      <c r="B28" s="121"/>
      <c r="C28" s="121"/>
      <c r="D28" s="121"/>
      <c r="E28" s="121"/>
      <c r="F28" s="121"/>
      <c r="G28" s="121"/>
      <c r="L28" s="130" t="s">
        <v>13</v>
      </c>
      <c r="O28" s="147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  <c r="IC28" s="171"/>
      <c r="ID28" s="171"/>
      <c r="IE28" s="171"/>
      <c r="IF28" s="171"/>
      <c r="IG28" s="171"/>
      <c r="IH28" s="171"/>
      <c r="II28" s="171"/>
      <c r="IJ28" s="171"/>
      <c r="IK28" s="171"/>
      <c r="IL28" s="171"/>
      <c r="IM28" s="171"/>
      <c r="IN28" s="171"/>
      <c r="IO28" s="171"/>
      <c r="IP28" s="171"/>
      <c r="IQ28" s="171"/>
      <c r="IR28" s="171"/>
      <c r="IS28" s="171"/>
      <c r="IT28" s="171"/>
      <c r="IU28" s="171"/>
      <c r="IV28" s="171"/>
      <c r="IW28" s="171"/>
      <c r="IX28" s="171"/>
      <c r="IY28" s="171"/>
      <c r="IZ28" s="171"/>
      <c r="JA28" s="171"/>
      <c r="JB28" s="171"/>
      <c r="JC28" s="171"/>
      <c r="JD28" s="171"/>
      <c r="JE28" s="171"/>
      <c r="JF28" s="171"/>
      <c r="JG28" s="171"/>
      <c r="JH28" s="171"/>
      <c r="JI28" s="171"/>
      <c r="JJ28" s="171"/>
      <c r="JK28" s="171"/>
      <c r="JL28" s="171"/>
      <c r="JM28" s="171"/>
      <c r="JN28" s="171"/>
      <c r="JO28" s="171"/>
      <c r="JP28" s="171"/>
      <c r="JQ28" s="171"/>
      <c r="JR28" s="171"/>
      <c r="JS28" s="171"/>
      <c r="JT28" s="171"/>
      <c r="JU28" s="171"/>
      <c r="JV28" s="171"/>
      <c r="JW28" s="171"/>
      <c r="JX28" s="171"/>
      <c r="JY28" s="171"/>
      <c r="JZ28" s="171"/>
      <c r="KA28" s="171"/>
      <c r="KB28" s="171"/>
      <c r="KC28" s="171"/>
      <c r="KD28" s="171"/>
      <c r="KE28" s="171"/>
      <c r="KF28" s="171"/>
      <c r="KG28" s="171"/>
      <c r="KH28" s="171"/>
      <c r="KI28" s="171"/>
      <c r="KJ28" s="171"/>
      <c r="KK28" s="171"/>
      <c r="KL28" s="171"/>
      <c r="KM28" s="171"/>
      <c r="KN28" s="171"/>
      <c r="KO28" s="171"/>
      <c r="KP28" s="171"/>
      <c r="KQ28" s="171"/>
      <c r="KR28" s="171"/>
      <c r="KS28" s="171"/>
      <c r="KT28" s="171"/>
      <c r="KU28" s="171"/>
      <c r="KV28" s="171"/>
      <c r="KW28" s="171"/>
      <c r="KX28" s="171"/>
      <c r="KY28" s="171"/>
      <c r="KZ28" s="171"/>
      <c r="LA28" s="171"/>
      <c r="LB28" s="171"/>
      <c r="LC28" s="171"/>
      <c r="LD28" s="171"/>
      <c r="LE28" s="171"/>
      <c r="LF28" s="171"/>
      <c r="LG28" s="171"/>
      <c r="LH28" s="171"/>
      <c r="LI28" s="171"/>
      <c r="LJ28" s="171"/>
      <c r="LK28" s="171"/>
      <c r="LL28" s="171"/>
      <c r="LM28" s="171"/>
      <c r="LN28" s="171"/>
      <c r="LO28" s="171"/>
    </row>
    <row r="29" spans="1:327" s="122" customFormat="1" x14ac:dyDescent="0.2">
      <c r="A29" s="124"/>
      <c r="B29" s="121"/>
      <c r="C29" s="121"/>
      <c r="D29" s="121"/>
      <c r="E29" s="121"/>
      <c r="F29" s="121"/>
      <c r="G29" s="121"/>
      <c r="L29" s="131">
        <f>IF(D11&lt;&gt;0,D11)</f>
        <v>-9835.1449999999895</v>
      </c>
      <c r="M29" s="125"/>
      <c r="N29" s="125"/>
      <c r="O29" s="183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  <c r="IJ29" s="171"/>
      <c r="IK29" s="171"/>
      <c r="IL29" s="171"/>
      <c r="IM29" s="171"/>
      <c r="IN29" s="171"/>
      <c r="IO29" s="171"/>
      <c r="IP29" s="171"/>
      <c r="IQ29" s="171"/>
      <c r="IR29" s="171"/>
      <c r="IS29" s="171"/>
      <c r="IT29" s="171"/>
      <c r="IU29" s="171"/>
      <c r="IV29" s="171"/>
      <c r="IW29" s="171"/>
      <c r="IX29" s="171"/>
      <c r="IY29" s="171"/>
      <c r="IZ29" s="171"/>
      <c r="JA29" s="171"/>
      <c r="JB29" s="171"/>
      <c r="JC29" s="171"/>
      <c r="JD29" s="171"/>
      <c r="JE29" s="171"/>
      <c r="JF29" s="171"/>
      <c r="JG29" s="171"/>
      <c r="JH29" s="171"/>
      <c r="JI29" s="171"/>
      <c r="JJ29" s="171"/>
      <c r="JK29" s="171"/>
      <c r="JL29" s="171"/>
      <c r="JM29" s="171"/>
      <c r="JN29" s="171"/>
      <c r="JO29" s="171"/>
      <c r="JP29" s="171"/>
      <c r="JQ29" s="171"/>
      <c r="JR29" s="171"/>
      <c r="JS29" s="171"/>
      <c r="JT29" s="171"/>
      <c r="JU29" s="171"/>
      <c r="JV29" s="171"/>
      <c r="JW29" s="171"/>
      <c r="JX29" s="171"/>
      <c r="JY29" s="171"/>
      <c r="JZ29" s="171"/>
      <c r="KA29" s="171"/>
      <c r="KB29" s="171"/>
      <c r="KC29" s="171"/>
      <c r="KD29" s="171"/>
      <c r="KE29" s="171"/>
      <c r="KF29" s="171"/>
      <c r="KG29" s="171"/>
      <c r="KH29" s="171"/>
      <c r="KI29" s="171"/>
      <c r="KJ29" s="171"/>
      <c r="KK29" s="171"/>
      <c r="KL29" s="171"/>
      <c r="KM29" s="171"/>
      <c r="KN29" s="171"/>
      <c r="KO29" s="171"/>
      <c r="KP29" s="171"/>
      <c r="KQ29" s="171"/>
      <c r="KR29" s="171"/>
      <c r="KS29" s="171"/>
      <c r="KT29" s="171"/>
      <c r="KU29" s="171"/>
      <c r="KV29" s="171"/>
      <c r="KW29" s="171"/>
      <c r="KX29" s="171"/>
      <c r="KY29" s="171"/>
      <c r="KZ29" s="171"/>
      <c r="LA29" s="171"/>
      <c r="LB29" s="171"/>
      <c r="LC29" s="171"/>
      <c r="LD29" s="171"/>
      <c r="LE29" s="171"/>
      <c r="LF29" s="171"/>
      <c r="LG29" s="171"/>
      <c r="LH29" s="171"/>
      <c r="LI29" s="171"/>
      <c r="LJ29" s="171"/>
      <c r="LK29" s="171"/>
      <c r="LL29" s="171"/>
      <c r="LM29" s="171"/>
      <c r="LN29" s="171"/>
      <c r="LO29" s="171"/>
    </row>
    <row r="30" spans="1:327" s="122" customFormat="1" x14ac:dyDescent="0.2">
      <c r="A30" s="124"/>
      <c r="B30" s="121"/>
      <c r="C30" s="121"/>
      <c r="D30" s="121"/>
      <c r="E30" s="121"/>
      <c r="F30" s="121"/>
      <c r="G30" s="121"/>
      <c r="L30" s="131">
        <f>IF(D12&lt;&gt;0,L29+D12,"")</f>
        <v>-12105.724999999977</v>
      </c>
      <c r="M30" s="125"/>
      <c r="N30" s="125"/>
      <c r="O30" s="183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  <c r="IC30" s="171"/>
      <c r="ID30" s="171"/>
      <c r="IE30" s="171"/>
      <c r="IF30" s="171"/>
      <c r="IG30" s="171"/>
      <c r="IH30" s="171"/>
      <c r="II30" s="171"/>
      <c r="IJ30" s="171"/>
      <c r="IK30" s="171"/>
      <c r="IL30" s="171"/>
      <c r="IM30" s="171"/>
      <c r="IN30" s="171"/>
      <c r="IO30" s="171"/>
      <c r="IP30" s="171"/>
      <c r="IQ30" s="171"/>
      <c r="IR30" s="171"/>
      <c r="IS30" s="171"/>
      <c r="IT30" s="171"/>
      <c r="IU30" s="171"/>
      <c r="IV30" s="171"/>
      <c r="IW30" s="171"/>
      <c r="IX30" s="171"/>
      <c r="IY30" s="171"/>
      <c r="IZ30" s="171"/>
      <c r="JA30" s="171"/>
      <c r="JB30" s="171"/>
      <c r="JC30" s="171"/>
      <c r="JD30" s="171"/>
      <c r="JE30" s="171"/>
      <c r="JF30" s="171"/>
      <c r="JG30" s="171"/>
      <c r="JH30" s="171"/>
      <c r="JI30" s="171"/>
      <c r="JJ30" s="171"/>
      <c r="JK30" s="171"/>
      <c r="JL30" s="171"/>
      <c r="JM30" s="171"/>
      <c r="JN30" s="171"/>
      <c r="JO30" s="171"/>
      <c r="JP30" s="171"/>
      <c r="JQ30" s="171"/>
      <c r="JR30" s="171"/>
      <c r="JS30" s="171"/>
      <c r="JT30" s="171"/>
      <c r="JU30" s="171"/>
      <c r="JV30" s="171"/>
      <c r="JW30" s="171"/>
      <c r="JX30" s="171"/>
      <c r="JY30" s="171"/>
      <c r="JZ30" s="171"/>
      <c r="KA30" s="171"/>
      <c r="KB30" s="171"/>
      <c r="KC30" s="171"/>
      <c r="KD30" s="171"/>
      <c r="KE30" s="171"/>
      <c r="KF30" s="171"/>
      <c r="KG30" s="171"/>
      <c r="KH30" s="171"/>
      <c r="KI30" s="171"/>
      <c r="KJ30" s="171"/>
      <c r="KK30" s="171"/>
      <c r="KL30" s="171"/>
      <c r="KM30" s="171"/>
      <c r="KN30" s="171"/>
      <c r="KO30" s="171"/>
      <c r="KP30" s="171"/>
      <c r="KQ30" s="171"/>
      <c r="KR30" s="171"/>
      <c r="KS30" s="171"/>
      <c r="KT30" s="171"/>
      <c r="KU30" s="171"/>
      <c r="KV30" s="171"/>
      <c r="KW30" s="171"/>
      <c r="KX30" s="171"/>
      <c r="KY30" s="171"/>
      <c r="KZ30" s="171"/>
      <c r="LA30" s="171"/>
      <c r="LB30" s="171"/>
      <c r="LC30" s="171"/>
      <c r="LD30" s="171"/>
      <c r="LE30" s="171"/>
      <c r="LF30" s="171"/>
      <c r="LG30" s="171"/>
      <c r="LH30" s="171"/>
      <c r="LI30" s="171"/>
      <c r="LJ30" s="171"/>
      <c r="LK30" s="171"/>
      <c r="LL30" s="171"/>
      <c r="LM30" s="171"/>
      <c r="LN30" s="171"/>
      <c r="LO30" s="171"/>
    </row>
    <row r="31" spans="1:327" s="122" customFormat="1" x14ac:dyDescent="0.2">
      <c r="A31" s="124"/>
      <c r="B31" s="121"/>
      <c r="C31" s="121"/>
      <c r="D31" s="121"/>
      <c r="E31" s="121"/>
      <c r="F31" s="121"/>
      <c r="G31" s="121"/>
      <c r="L31" s="131">
        <f>IF(D13&lt;&gt;0,L30+D13,"")</f>
        <v>-3856.7549999999756</v>
      </c>
      <c r="M31" s="126"/>
      <c r="N31" s="125"/>
      <c r="O31" s="183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  <c r="IL31" s="171"/>
      <c r="IM31" s="171"/>
      <c r="IN31" s="171"/>
      <c r="IO31" s="171"/>
      <c r="IP31" s="171"/>
      <c r="IQ31" s="171"/>
      <c r="IR31" s="171"/>
      <c r="IS31" s="171"/>
      <c r="IT31" s="171"/>
      <c r="IU31" s="171"/>
      <c r="IV31" s="171"/>
      <c r="IW31" s="171"/>
      <c r="IX31" s="171"/>
      <c r="IY31" s="171"/>
      <c r="IZ31" s="171"/>
      <c r="JA31" s="171"/>
      <c r="JB31" s="171"/>
      <c r="JC31" s="171"/>
      <c r="JD31" s="171"/>
      <c r="JE31" s="171"/>
      <c r="JF31" s="171"/>
      <c r="JG31" s="171"/>
      <c r="JH31" s="171"/>
      <c r="JI31" s="171"/>
      <c r="JJ31" s="171"/>
      <c r="JK31" s="171"/>
      <c r="JL31" s="171"/>
      <c r="JM31" s="171"/>
      <c r="JN31" s="171"/>
      <c r="JO31" s="171"/>
      <c r="JP31" s="171"/>
      <c r="JQ31" s="171"/>
      <c r="JR31" s="171"/>
      <c r="JS31" s="171"/>
      <c r="JT31" s="171"/>
      <c r="JU31" s="171"/>
      <c r="JV31" s="171"/>
      <c r="JW31" s="171"/>
      <c r="JX31" s="171"/>
      <c r="JY31" s="171"/>
      <c r="JZ31" s="171"/>
      <c r="KA31" s="171"/>
      <c r="KB31" s="171"/>
      <c r="KC31" s="171"/>
      <c r="KD31" s="171"/>
      <c r="KE31" s="171"/>
      <c r="KF31" s="171"/>
      <c r="KG31" s="171"/>
      <c r="KH31" s="171"/>
      <c r="KI31" s="171"/>
      <c r="KJ31" s="171"/>
      <c r="KK31" s="171"/>
      <c r="KL31" s="171"/>
      <c r="KM31" s="171"/>
      <c r="KN31" s="171"/>
      <c r="KO31" s="171"/>
      <c r="KP31" s="171"/>
      <c r="KQ31" s="171"/>
      <c r="KR31" s="171"/>
      <c r="KS31" s="171"/>
      <c r="KT31" s="171"/>
      <c r="KU31" s="171"/>
      <c r="KV31" s="171"/>
      <c r="KW31" s="171"/>
      <c r="KX31" s="171"/>
      <c r="KY31" s="171"/>
      <c r="KZ31" s="171"/>
      <c r="LA31" s="171"/>
      <c r="LB31" s="171"/>
      <c r="LC31" s="171"/>
      <c r="LD31" s="171"/>
      <c r="LE31" s="171"/>
      <c r="LF31" s="171"/>
      <c r="LG31" s="171"/>
      <c r="LH31" s="171"/>
      <c r="LI31" s="171"/>
      <c r="LJ31" s="171"/>
      <c r="LK31" s="171"/>
      <c r="LL31" s="171"/>
      <c r="LM31" s="171"/>
      <c r="LN31" s="171"/>
      <c r="LO31" s="171"/>
    </row>
    <row r="32" spans="1:327" s="122" customFormat="1" x14ac:dyDescent="0.2">
      <c r="A32" s="124"/>
      <c r="B32" s="121"/>
      <c r="C32" s="121"/>
      <c r="D32" s="121"/>
      <c r="E32" s="121"/>
      <c r="F32" s="121"/>
      <c r="G32" s="121"/>
      <c r="L32" s="131">
        <f>IF(D14&lt;&gt;0,L31+D14,"")</f>
        <v>20757.760000000038</v>
      </c>
      <c r="M32" s="125"/>
      <c r="N32" s="125"/>
      <c r="O32" s="183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  <c r="IL32" s="171"/>
      <c r="IM32" s="171"/>
      <c r="IN32" s="171"/>
      <c r="IO32" s="171"/>
      <c r="IP32" s="171"/>
      <c r="IQ32" s="171"/>
      <c r="IR32" s="171"/>
      <c r="IS32" s="171"/>
      <c r="IT32" s="171"/>
      <c r="IU32" s="171"/>
      <c r="IV32" s="171"/>
      <c r="IW32" s="171"/>
      <c r="IX32" s="171"/>
      <c r="IY32" s="171"/>
      <c r="IZ32" s="171"/>
      <c r="JA32" s="171"/>
      <c r="JB32" s="171"/>
      <c r="JC32" s="171"/>
      <c r="JD32" s="171"/>
      <c r="JE32" s="171"/>
      <c r="JF32" s="171"/>
      <c r="JG32" s="171"/>
      <c r="JH32" s="171"/>
      <c r="JI32" s="171"/>
      <c r="JJ32" s="171"/>
      <c r="JK32" s="171"/>
      <c r="JL32" s="171"/>
      <c r="JM32" s="171"/>
      <c r="JN32" s="171"/>
      <c r="JO32" s="171"/>
      <c r="JP32" s="171"/>
      <c r="JQ32" s="171"/>
      <c r="JR32" s="171"/>
      <c r="JS32" s="171"/>
      <c r="JT32" s="171"/>
      <c r="JU32" s="171"/>
      <c r="JV32" s="171"/>
      <c r="JW32" s="171"/>
      <c r="JX32" s="171"/>
      <c r="JY32" s="171"/>
      <c r="JZ32" s="171"/>
      <c r="KA32" s="171"/>
      <c r="KB32" s="171"/>
      <c r="KC32" s="171"/>
      <c r="KD32" s="171"/>
      <c r="KE32" s="171"/>
      <c r="KF32" s="171"/>
      <c r="KG32" s="171"/>
      <c r="KH32" s="171"/>
      <c r="KI32" s="171"/>
      <c r="KJ32" s="171"/>
      <c r="KK32" s="171"/>
      <c r="KL32" s="171"/>
      <c r="KM32" s="171"/>
      <c r="KN32" s="171"/>
      <c r="KO32" s="171"/>
      <c r="KP32" s="171"/>
      <c r="KQ32" s="171"/>
      <c r="KR32" s="171"/>
      <c r="KS32" s="171"/>
      <c r="KT32" s="171"/>
      <c r="KU32" s="171"/>
      <c r="KV32" s="171"/>
      <c r="KW32" s="171"/>
      <c r="KX32" s="171"/>
      <c r="KY32" s="171"/>
      <c r="KZ32" s="171"/>
      <c r="LA32" s="171"/>
      <c r="LB32" s="171"/>
      <c r="LC32" s="171"/>
      <c r="LD32" s="171"/>
      <c r="LE32" s="171"/>
      <c r="LF32" s="171"/>
      <c r="LG32" s="171"/>
      <c r="LH32" s="171"/>
      <c r="LI32" s="171"/>
      <c r="LJ32" s="171"/>
      <c r="LK32" s="171"/>
      <c r="LL32" s="171"/>
      <c r="LM32" s="171"/>
      <c r="LN32" s="171"/>
      <c r="LO32" s="171"/>
    </row>
    <row r="33" spans="1:327" s="122" customFormat="1" x14ac:dyDescent="0.2">
      <c r="A33" s="124"/>
      <c r="B33" s="121"/>
      <c r="C33" s="121"/>
      <c r="D33" s="121"/>
      <c r="E33" s="121"/>
      <c r="F33" s="121"/>
      <c r="G33" s="121"/>
      <c r="L33" s="131">
        <f t="shared" ref="L33:L40" si="0">IF(D15&lt;&gt;0,L32+D15,"")</f>
        <v>51058.921000000031</v>
      </c>
      <c r="M33" s="125"/>
      <c r="N33" s="125"/>
      <c r="O33" s="183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  <c r="IL33" s="171"/>
      <c r="IM33" s="171"/>
      <c r="IN33" s="171"/>
      <c r="IO33" s="171"/>
      <c r="IP33" s="171"/>
      <c r="IQ33" s="171"/>
      <c r="IR33" s="171"/>
      <c r="IS33" s="171"/>
      <c r="IT33" s="171"/>
      <c r="IU33" s="171"/>
      <c r="IV33" s="171"/>
      <c r="IW33" s="171"/>
      <c r="IX33" s="171"/>
      <c r="IY33" s="171"/>
      <c r="IZ33" s="171"/>
      <c r="JA33" s="171"/>
      <c r="JB33" s="171"/>
      <c r="JC33" s="171"/>
      <c r="JD33" s="171"/>
      <c r="JE33" s="171"/>
      <c r="JF33" s="171"/>
      <c r="JG33" s="171"/>
      <c r="JH33" s="171"/>
      <c r="JI33" s="171"/>
      <c r="JJ33" s="171"/>
      <c r="JK33" s="171"/>
      <c r="JL33" s="171"/>
      <c r="JM33" s="171"/>
      <c r="JN33" s="171"/>
      <c r="JO33" s="171"/>
      <c r="JP33" s="171"/>
      <c r="JQ33" s="171"/>
      <c r="JR33" s="171"/>
      <c r="JS33" s="171"/>
      <c r="JT33" s="171"/>
      <c r="JU33" s="171"/>
      <c r="JV33" s="171"/>
      <c r="JW33" s="171"/>
      <c r="JX33" s="171"/>
      <c r="JY33" s="171"/>
      <c r="JZ33" s="171"/>
      <c r="KA33" s="171"/>
      <c r="KB33" s="171"/>
      <c r="KC33" s="171"/>
      <c r="KD33" s="171"/>
      <c r="KE33" s="171"/>
      <c r="KF33" s="171"/>
      <c r="KG33" s="171"/>
      <c r="KH33" s="171"/>
      <c r="KI33" s="171"/>
      <c r="KJ33" s="171"/>
      <c r="KK33" s="171"/>
      <c r="KL33" s="171"/>
      <c r="KM33" s="171"/>
      <c r="KN33" s="171"/>
      <c r="KO33" s="171"/>
      <c r="KP33" s="171"/>
      <c r="KQ33" s="171"/>
      <c r="KR33" s="171"/>
      <c r="KS33" s="171"/>
      <c r="KT33" s="171"/>
      <c r="KU33" s="171"/>
      <c r="KV33" s="171"/>
      <c r="KW33" s="171"/>
      <c r="KX33" s="171"/>
      <c r="KY33" s="171"/>
      <c r="KZ33" s="171"/>
      <c r="LA33" s="171"/>
      <c r="LB33" s="171"/>
      <c r="LC33" s="171"/>
      <c r="LD33" s="171"/>
      <c r="LE33" s="171"/>
      <c r="LF33" s="171"/>
      <c r="LG33" s="171"/>
      <c r="LH33" s="171"/>
      <c r="LI33" s="171"/>
      <c r="LJ33" s="171"/>
      <c r="LK33" s="171"/>
      <c r="LL33" s="171"/>
      <c r="LM33" s="171"/>
      <c r="LN33" s="171"/>
      <c r="LO33" s="171"/>
    </row>
    <row r="34" spans="1:327" s="122" customFormat="1" x14ac:dyDescent="0.2">
      <c r="A34" s="124"/>
      <c r="B34" s="121"/>
      <c r="C34" s="121"/>
      <c r="D34" s="121"/>
      <c r="E34" s="121"/>
      <c r="F34" s="121"/>
      <c r="G34" s="121"/>
      <c r="L34" s="131">
        <f t="shared" si="0"/>
        <v>65494.248000000051</v>
      </c>
      <c r="M34" s="125"/>
      <c r="N34" s="125"/>
      <c r="O34" s="183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  <c r="IC34" s="171"/>
      <c r="ID34" s="171"/>
      <c r="IE34" s="171"/>
      <c r="IF34" s="171"/>
      <c r="IG34" s="171"/>
      <c r="IH34" s="171"/>
      <c r="II34" s="171"/>
      <c r="IJ34" s="171"/>
      <c r="IK34" s="171"/>
      <c r="IL34" s="171"/>
      <c r="IM34" s="171"/>
      <c r="IN34" s="171"/>
      <c r="IO34" s="171"/>
      <c r="IP34" s="171"/>
      <c r="IQ34" s="171"/>
      <c r="IR34" s="171"/>
      <c r="IS34" s="171"/>
      <c r="IT34" s="171"/>
      <c r="IU34" s="171"/>
      <c r="IV34" s="171"/>
      <c r="IW34" s="171"/>
      <c r="IX34" s="171"/>
      <c r="IY34" s="171"/>
      <c r="IZ34" s="171"/>
      <c r="JA34" s="171"/>
      <c r="JB34" s="171"/>
      <c r="JC34" s="171"/>
      <c r="JD34" s="171"/>
      <c r="JE34" s="171"/>
      <c r="JF34" s="171"/>
      <c r="JG34" s="171"/>
      <c r="JH34" s="171"/>
      <c r="JI34" s="171"/>
      <c r="JJ34" s="171"/>
      <c r="JK34" s="171"/>
      <c r="JL34" s="171"/>
      <c r="JM34" s="171"/>
      <c r="JN34" s="171"/>
      <c r="JO34" s="171"/>
      <c r="JP34" s="171"/>
      <c r="JQ34" s="171"/>
      <c r="JR34" s="171"/>
      <c r="JS34" s="171"/>
      <c r="JT34" s="171"/>
      <c r="JU34" s="171"/>
      <c r="JV34" s="171"/>
      <c r="JW34" s="171"/>
      <c r="JX34" s="171"/>
      <c r="JY34" s="171"/>
      <c r="JZ34" s="171"/>
      <c r="KA34" s="171"/>
      <c r="KB34" s="171"/>
      <c r="KC34" s="171"/>
      <c r="KD34" s="171"/>
      <c r="KE34" s="171"/>
      <c r="KF34" s="171"/>
      <c r="KG34" s="171"/>
      <c r="KH34" s="171"/>
      <c r="KI34" s="171"/>
      <c r="KJ34" s="171"/>
      <c r="KK34" s="171"/>
      <c r="KL34" s="171"/>
      <c r="KM34" s="171"/>
      <c r="KN34" s="171"/>
      <c r="KO34" s="171"/>
      <c r="KP34" s="171"/>
      <c r="KQ34" s="171"/>
      <c r="KR34" s="171"/>
      <c r="KS34" s="171"/>
      <c r="KT34" s="171"/>
      <c r="KU34" s="171"/>
      <c r="KV34" s="171"/>
      <c r="KW34" s="171"/>
      <c r="KX34" s="171"/>
      <c r="KY34" s="171"/>
      <c r="KZ34" s="171"/>
      <c r="LA34" s="171"/>
      <c r="LB34" s="171"/>
      <c r="LC34" s="171"/>
      <c r="LD34" s="171"/>
      <c r="LE34" s="171"/>
      <c r="LF34" s="171"/>
      <c r="LG34" s="171"/>
      <c r="LH34" s="171"/>
      <c r="LI34" s="171"/>
      <c r="LJ34" s="171"/>
      <c r="LK34" s="171"/>
      <c r="LL34" s="171"/>
      <c r="LM34" s="171"/>
      <c r="LN34" s="171"/>
      <c r="LO34" s="171"/>
    </row>
    <row r="35" spans="1:327" s="122" customFormat="1" x14ac:dyDescent="0.2">
      <c r="A35" s="124"/>
      <c r="B35" s="121"/>
      <c r="C35" s="121"/>
      <c r="D35" s="121"/>
      <c r="E35" s="121"/>
      <c r="F35" s="121"/>
      <c r="G35" s="121"/>
      <c r="L35" s="131">
        <f t="shared" si="0"/>
        <v>87857.435000000056</v>
      </c>
      <c r="M35" s="125"/>
      <c r="N35" s="125"/>
      <c r="O35" s="183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  <c r="IN35" s="171"/>
      <c r="IO35" s="171"/>
      <c r="IP35" s="171"/>
      <c r="IQ35" s="171"/>
      <c r="IR35" s="171"/>
      <c r="IS35" s="171"/>
      <c r="IT35" s="171"/>
      <c r="IU35" s="171"/>
      <c r="IV35" s="171"/>
      <c r="IW35" s="171"/>
      <c r="IX35" s="171"/>
      <c r="IY35" s="171"/>
      <c r="IZ35" s="171"/>
      <c r="JA35" s="171"/>
      <c r="JB35" s="171"/>
      <c r="JC35" s="171"/>
      <c r="JD35" s="171"/>
      <c r="JE35" s="171"/>
      <c r="JF35" s="171"/>
      <c r="JG35" s="171"/>
      <c r="JH35" s="171"/>
      <c r="JI35" s="171"/>
      <c r="JJ35" s="171"/>
      <c r="JK35" s="171"/>
      <c r="JL35" s="171"/>
      <c r="JM35" s="171"/>
      <c r="JN35" s="171"/>
      <c r="JO35" s="171"/>
      <c r="JP35" s="171"/>
      <c r="JQ35" s="171"/>
      <c r="JR35" s="171"/>
      <c r="JS35" s="171"/>
      <c r="JT35" s="171"/>
      <c r="JU35" s="171"/>
      <c r="JV35" s="171"/>
      <c r="JW35" s="171"/>
      <c r="JX35" s="171"/>
      <c r="JY35" s="171"/>
      <c r="JZ35" s="171"/>
      <c r="KA35" s="171"/>
      <c r="KB35" s="171"/>
      <c r="KC35" s="171"/>
      <c r="KD35" s="171"/>
      <c r="KE35" s="171"/>
      <c r="KF35" s="171"/>
      <c r="KG35" s="171"/>
      <c r="KH35" s="171"/>
      <c r="KI35" s="171"/>
      <c r="KJ35" s="171"/>
      <c r="KK35" s="171"/>
      <c r="KL35" s="171"/>
      <c r="KM35" s="171"/>
      <c r="KN35" s="171"/>
      <c r="KO35" s="171"/>
      <c r="KP35" s="171"/>
      <c r="KQ35" s="171"/>
      <c r="KR35" s="171"/>
      <c r="KS35" s="171"/>
      <c r="KT35" s="171"/>
      <c r="KU35" s="171"/>
      <c r="KV35" s="171"/>
      <c r="KW35" s="171"/>
      <c r="KX35" s="171"/>
      <c r="KY35" s="171"/>
      <c r="KZ35" s="171"/>
      <c r="LA35" s="171"/>
      <c r="LB35" s="171"/>
      <c r="LC35" s="171"/>
      <c r="LD35" s="171"/>
      <c r="LE35" s="171"/>
      <c r="LF35" s="171"/>
      <c r="LG35" s="171"/>
      <c r="LH35" s="171"/>
      <c r="LI35" s="171"/>
      <c r="LJ35" s="171"/>
      <c r="LK35" s="171"/>
      <c r="LL35" s="171"/>
      <c r="LM35" s="171"/>
      <c r="LN35" s="171"/>
      <c r="LO35" s="171"/>
    </row>
    <row r="36" spans="1:327" s="122" customFormat="1" x14ac:dyDescent="0.2">
      <c r="A36" s="124"/>
      <c r="B36" s="121"/>
      <c r="C36" s="121"/>
      <c r="D36" s="121"/>
      <c r="E36" s="121"/>
      <c r="F36" s="121"/>
      <c r="G36" s="121"/>
      <c r="L36" s="131">
        <f t="shared" si="0"/>
        <v>95805.390000000043</v>
      </c>
      <c r="M36" s="125"/>
      <c r="N36" s="125"/>
      <c r="O36" s="183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  <c r="IT36" s="171"/>
      <c r="IU36" s="171"/>
      <c r="IV36" s="171"/>
      <c r="IW36" s="171"/>
      <c r="IX36" s="171"/>
      <c r="IY36" s="171"/>
      <c r="IZ36" s="171"/>
      <c r="JA36" s="171"/>
      <c r="JB36" s="171"/>
      <c r="JC36" s="171"/>
      <c r="JD36" s="171"/>
      <c r="JE36" s="171"/>
      <c r="JF36" s="171"/>
      <c r="JG36" s="171"/>
      <c r="JH36" s="171"/>
      <c r="JI36" s="171"/>
      <c r="JJ36" s="171"/>
      <c r="JK36" s="171"/>
      <c r="JL36" s="171"/>
      <c r="JM36" s="171"/>
      <c r="JN36" s="171"/>
      <c r="JO36" s="171"/>
      <c r="JP36" s="171"/>
      <c r="JQ36" s="171"/>
      <c r="JR36" s="171"/>
      <c r="JS36" s="171"/>
      <c r="JT36" s="171"/>
      <c r="JU36" s="171"/>
      <c r="JV36" s="171"/>
      <c r="JW36" s="171"/>
      <c r="JX36" s="171"/>
      <c r="JY36" s="171"/>
      <c r="JZ36" s="171"/>
      <c r="KA36" s="171"/>
      <c r="KB36" s="171"/>
      <c r="KC36" s="171"/>
      <c r="KD36" s="171"/>
      <c r="KE36" s="171"/>
      <c r="KF36" s="171"/>
      <c r="KG36" s="171"/>
      <c r="KH36" s="171"/>
      <c r="KI36" s="171"/>
      <c r="KJ36" s="171"/>
      <c r="KK36" s="171"/>
      <c r="KL36" s="171"/>
      <c r="KM36" s="171"/>
      <c r="KN36" s="171"/>
      <c r="KO36" s="171"/>
      <c r="KP36" s="171"/>
      <c r="KQ36" s="171"/>
      <c r="KR36" s="171"/>
      <c r="KS36" s="171"/>
      <c r="KT36" s="171"/>
      <c r="KU36" s="171"/>
      <c r="KV36" s="171"/>
      <c r="KW36" s="171"/>
      <c r="KX36" s="171"/>
      <c r="KY36" s="171"/>
      <c r="KZ36" s="171"/>
      <c r="LA36" s="171"/>
      <c r="LB36" s="171"/>
      <c r="LC36" s="171"/>
      <c r="LD36" s="171"/>
      <c r="LE36" s="171"/>
      <c r="LF36" s="171"/>
      <c r="LG36" s="171"/>
      <c r="LH36" s="171"/>
      <c r="LI36" s="171"/>
      <c r="LJ36" s="171"/>
      <c r="LK36" s="171"/>
      <c r="LL36" s="171"/>
      <c r="LM36" s="171"/>
      <c r="LN36" s="171"/>
      <c r="LO36" s="171"/>
    </row>
    <row r="37" spans="1:327" s="122" customFormat="1" x14ac:dyDescent="0.2">
      <c r="A37" s="124"/>
      <c r="B37" s="121"/>
      <c r="C37" s="121"/>
      <c r="D37" s="121"/>
      <c r="E37" s="121"/>
      <c r="F37" s="121"/>
      <c r="G37" s="121"/>
      <c r="L37" s="131" t="str">
        <f t="shared" si="0"/>
        <v/>
      </c>
      <c r="M37" s="125"/>
      <c r="N37" s="125"/>
      <c r="O37" s="183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  <c r="IU37" s="171"/>
      <c r="IV37" s="171"/>
      <c r="IW37" s="171"/>
      <c r="IX37" s="171"/>
      <c r="IY37" s="171"/>
      <c r="IZ37" s="171"/>
      <c r="JA37" s="171"/>
      <c r="JB37" s="171"/>
      <c r="JC37" s="171"/>
      <c r="JD37" s="171"/>
      <c r="JE37" s="171"/>
      <c r="JF37" s="171"/>
      <c r="JG37" s="171"/>
      <c r="JH37" s="171"/>
      <c r="JI37" s="171"/>
      <c r="JJ37" s="171"/>
      <c r="JK37" s="171"/>
      <c r="JL37" s="171"/>
      <c r="JM37" s="171"/>
      <c r="JN37" s="171"/>
      <c r="JO37" s="171"/>
      <c r="JP37" s="171"/>
      <c r="JQ37" s="171"/>
      <c r="JR37" s="171"/>
      <c r="JS37" s="171"/>
      <c r="JT37" s="171"/>
      <c r="JU37" s="171"/>
      <c r="JV37" s="171"/>
      <c r="JW37" s="171"/>
      <c r="JX37" s="171"/>
      <c r="JY37" s="171"/>
      <c r="JZ37" s="171"/>
      <c r="KA37" s="171"/>
      <c r="KB37" s="171"/>
      <c r="KC37" s="171"/>
      <c r="KD37" s="171"/>
      <c r="KE37" s="171"/>
      <c r="KF37" s="171"/>
      <c r="KG37" s="171"/>
      <c r="KH37" s="171"/>
      <c r="KI37" s="171"/>
      <c r="KJ37" s="171"/>
      <c r="KK37" s="171"/>
      <c r="KL37" s="171"/>
      <c r="KM37" s="171"/>
      <c r="KN37" s="171"/>
      <c r="KO37" s="171"/>
      <c r="KP37" s="171"/>
      <c r="KQ37" s="171"/>
      <c r="KR37" s="171"/>
      <c r="KS37" s="171"/>
      <c r="KT37" s="171"/>
      <c r="KU37" s="171"/>
      <c r="KV37" s="171"/>
      <c r="KW37" s="171"/>
      <c r="KX37" s="171"/>
      <c r="KY37" s="171"/>
      <c r="KZ37" s="171"/>
      <c r="LA37" s="171"/>
      <c r="LB37" s="171"/>
      <c r="LC37" s="171"/>
      <c r="LD37" s="171"/>
      <c r="LE37" s="171"/>
      <c r="LF37" s="171"/>
      <c r="LG37" s="171"/>
      <c r="LH37" s="171"/>
      <c r="LI37" s="171"/>
      <c r="LJ37" s="171"/>
      <c r="LK37" s="171"/>
      <c r="LL37" s="171"/>
      <c r="LM37" s="171"/>
      <c r="LN37" s="171"/>
      <c r="LO37" s="171"/>
    </row>
    <row r="38" spans="1:327" s="122" customFormat="1" x14ac:dyDescent="0.2">
      <c r="A38" s="124"/>
      <c r="B38" s="121"/>
      <c r="C38" s="121"/>
      <c r="D38" s="121"/>
      <c r="E38" s="121"/>
      <c r="F38" s="121"/>
      <c r="G38" s="121"/>
      <c r="L38" s="131" t="str">
        <f t="shared" si="0"/>
        <v/>
      </c>
      <c r="M38" s="125"/>
      <c r="N38" s="125"/>
      <c r="O38" s="183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  <c r="IC38" s="171"/>
      <c r="ID38" s="171"/>
      <c r="IE38" s="171"/>
      <c r="IF38" s="171"/>
      <c r="IG38" s="171"/>
      <c r="IH38" s="171"/>
      <c r="II38" s="171"/>
      <c r="IJ38" s="171"/>
      <c r="IK38" s="171"/>
      <c r="IL38" s="171"/>
      <c r="IM38" s="171"/>
      <c r="IN38" s="171"/>
      <c r="IO38" s="171"/>
      <c r="IP38" s="171"/>
      <c r="IQ38" s="171"/>
      <c r="IR38" s="171"/>
      <c r="IS38" s="171"/>
      <c r="IT38" s="171"/>
      <c r="IU38" s="171"/>
      <c r="IV38" s="171"/>
      <c r="IW38" s="171"/>
      <c r="IX38" s="171"/>
      <c r="IY38" s="171"/>
      <c r="IZ38" s="171"/>
      <c r="JA38" s="171"/>
      <c r="JB38" s="171"/>
      <c r="JC38" s="171"/>
      <c r="JD38" s="171"/>
      <c r="JE38" s="171"/>
      <c r="JF38" s="171"/>
      <c r="JG38" s="171"/>
      <c r="JH38" s="171"/>
      <c r="JI38" s="171"/>
      <c r="JJ38" s="171"/>
      <c r="JK38" s="171"/>
      <c r="JL38" s="171"/>
      <c r="JM38" s="171"/>
      <c r="JN38" s="171"/>
      <c r="JO38" s="171"/>
      <c r="JP38" s="171"/>
      <c r="JQ38" s="171"/>
      <c r="JR38" s="171"/>
      <c r="JS38" s="171"/>
      <c r="JT38" s="171"/>
      <c r="JU38" s="171"/>
      <c r="JV38" s="171"/>
      <c r="JW38" s="171"/>
      <c r="JX38" s="171"/>
      <c r="JY38" s="171"/>
      <c r="JZ38" s="171"/>
      <c r="KA38" s="171"/>
      <c r="KB38" s="171"/>
      <c r="KC38" s="171"/>
      <c r="KD38" s="171"/>
      <c r="KE38" s="171"/>
      <c r="KF38" s="171"/>
      <c r="KG38" s="171"/>
      <c r="KH38" s="171"/>
      <c r="KI38" s="171"/>
      <c r="KJ38" s="171"/>
      <c r="KK38" s="171"/>
      <c r="KL38" s="171"/>
      <c r="KM38" s="171"/>
      <c r="KN38" s="171"/>
      <c r="KO38" s="171"/>
      <c r="KP38" s="171"/>
      <c r="KQ38" s="171"/>
      <c r="KR38" s="171"/>
      <c r="KS38" s="171"/>
      <c r="KT38" s="171"/>
      <c r="KU38" s="171"/>
      <c r="KV38" s="171"/>
      <c r="KW38" s="171"/>
      <c r="KX38" s="171"/>
      <c r="KY38" s="171"/>
      <c r="KZ38" s="171"/>
      <c r="LA38" s="171"/>
      <c r="LB38" s="171"/>
      <c r="LC38" s="171"/>
      <c r="LD38" s="171"/>
      <c r="LE38" s="171"/>
      <c r="LF38" s="171"/>
      <c r="LG38" s="171"/>
      <c r="LH38" s="171"/>
      <c r="LI38" s="171"/>
      <c r="LJ38" s="171"/>
      <c r="LK38" s="171"/>
      <c r="LL38" s="171"/>
      <c r="LM38" s="171"/>
      <c r="LN38" s="171"/>
      <c r="LO38" s="171"/>
    </row>
    <row r="39" spans="1:327" s="122" customFormat="1" x14ac:dyDescent="0.2">
      <c r="A39" s="124"/>
      <c r="B39" s="121"/>
      <c r="C39" s="121"/>
      <c r="D39" s="121"/>
      <c r="E39" s="121"/>
      <c r="F39" s="121"/>
      <c r="G39" s="121"/>
      <c r="L39" s="131" t="str">
        <f t="shared" si="0"/>
        <v/>
      </c>
      <c r="M39" s="125"/>
      <c r="N39" s="125"/>
      <c r="O39" s="183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  <c r="II39" s="171"/>
      <c r="IJ39" s="171"/>
      <c r="IK39" s="171"/>
      <c r="IL39" s="171"/>
      <c r="IM39" s="171"/>
      <c r="IN39" s="171"/>
      <c r="IO39" s="171"/>
      <c r="IP39" s="171"/>
      <c r="IQ39" s="171"/>
      <c r="IR39" s="171"/>
      <c r="IS39" s="171"/>
      <c r="IT39" s="171"/>
      <c r="IU39" s="171"/>
      <c r="IV39" s="171"/>
      <c r="IW39" s="171"/>
      <c r="IX39" s="171"/>
      <c r="IY39" s="171"/>
      <c r="IZ39" s="171"/>
      <c r="JA39" s="171"/>
      <c r="JB39" s="171"/>
      <c r="JC39" s="171"/>
      <c r="JD39" s="171"/>
      <c r="JE39" s="171"/>
      <c r="JF39" s="171"/>
      <c r="JG39" s="171"/>
      <c r="JH39" s="171"/>
      <c r="JI39" s="171"/>
      <c r="JJ39" s="171"/>
      <c r="JK39" s="171"/>
      <c r="JL39" s="171"/>
      <c r="JM39" s="171"/>
      <c r="JN39" s="171"/>
      <c r="JO39" s="171"/>
      <c r="JP39" s="171"/>
      <c r="JQ39" s="171"/>
      <c r="JR39" s="171"/>
      <c r="JS39" s="171"/>
      <c r="JT39" s="171"/>
      <c r="JU39" s="171"/>
      <c r="JV39" s="171"/>
      <c r="JW39" s="171"/>
      <c r="JX39" s="171"/>
      <c r="JY39" s="171"/>
      <c r="JZ39" s="171"/>
      <c r="KA39" s="171"/>
      <c r="KB39" s="171"/>
      <c r="KC39" s="171"/>
      <c r="KD39" s="171"/>
      <c r="KE39" s="171"/>
      <c r="KF39" s="171"/>
      <c r="KG39" s="171"/>
      <c r="KH39" s="171"/>
      <c r="KI39" s="171"/>
      <c r="KJ39" s="171"/>
      <c r="KK39" s="171"/>
      <c r="KL39" s="171"/>
      <c r="KM39" s="171"/>
      <c r="KN39" s="171"/>
      <c r="KO39" s="171"/>
      <c r="KP39" s="171"/>
      <c r="KQ39" s="171"/>
      <c r="KR39" s="171"/>
      <c r="KS39" s="171"/>
      <c r="KT39" s="171"/>
      <c r="KU39" s="171"/>
      <c r="KV39" s="171"/>
      <c r="KW39" s="171"/>
      <c r="KX39" s="171"/>
      <c r="KY39" s="171"/>
      <c r="KZ39" s="171"/>
      <c r="LA39" s="171"/>
      <c r="LB39" s="171"/>
      <c r="LC39" s="171"/>
      <c r="LD39" s="171"/>
      <c r="LE39" s="171"/>
      <c r="LF39" s="171"/>
      <c r="LG39" s="171"/>
      <c r="LH39" s="171"/>
      <c r="LI39" s="171"/>
      <c r="LJ39" s="171"/>
      <c r="LK39" s="171"/>
      <c r="LL39" s="171"/>
      <c r="LM39" s="171"/>
      <c r="LN39" s="171"/>
      <c r="LO39" s="171"/>
    </row>
    <row r="40" spans="1:327" s="122" customFormat="1" x14ac:dyDescent="0.2">
      <c r="A40" s="124"/>
      <c r="B40" s="121"/>
      <c r="C40" s="121"/>
      <c r="D40" s="121"/>
      <c r="E40" s="121"/>
      <c r="F40" s="121"/>
      <c r="G40" s="121"/>
      <c r="L40" s="131" t="str">
        <f t="shared" si="0"/>
        <v/>
      </c>
      <c r="M40" s="125"/>
      <c r="N40" s="125"/>
      <c r="O40" s="183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  <c r="II40" s="171"/>
      <c r="IJ40" s="171"/>
      <c r="IK40" s="171"/>
      <c r="IL40" s="171"/>
      <c r="IM40" s="171"/>
      <c r="IN40" s="171"/>
      <c r="IO40" s="171"/>
      <c r="IP40" s="171"/>
      <c r="IQ40" s="171"/>
      <c r="IR40" s="171"/>
      <c r="IS40" s="171"/>
      <c r="IT40" s="171"/>
      <c r="IU40" s="171"/>
      <c r="IV40" s="171"/>
      <c r="IW40" s="171"/>
      <c r="IX40" s="171"/>
      <c r="IY40" s="171"/>
      <c r="IZ40" s="171"/>
      <c r="JA40" s="171"/>
      <c r="JB40" s="171"/>
      <c r="JC40" s="171"/>
      <c r="JD40" s="171"/>
      <c r="JE40" s="171"/>
      <c r="JF40" s="171"/>
      <c r="JG40" s="171"/>
      <c r="JH40" s="171"/>
      <c r="JI40" s="171"/>
      <c r="JJ40" s="171"/>
      <c r="JK40" s="171"/>
      <c r="JL40" s="171"/>
      <c r="JM40" s="171"/>
      <c r="JN40" s="171"/>
      <c r="JO40" s="171"/>
      <c r="JP40" s="171"/>
      <c r="JQ40" s="171"/>
      <c r="JR40" s="171"/>
      <c r="JS40" s="171"/>
      <c r="JT40" s="171"/>
      <c r="JU40" s="171"/>
      <c r="JV40" s="171"/>
      <c r="JW40" s="171"/>
      <c r="JX40" s="171"/>
      <c r="JY40" s="171"/>
      <c r="JZ40" s="171"/>
      <c r="KA40" s="171"/>
      <c r="KB40" s="171"/>
      <c r="KC40" s="171"/>
      <c r="KD40" s="171"/>
      <c r="KE40" s="171"/>
      <c r="KF40" s="171"/>
      <c r="KG40" s="171"/>
      <c r="KH40" s="171"/>
      <c r="KI40" s="171"/>
      <c r="KJ40" s="171"/>
      <c r="KK40" s="171"/>
      <c r="KL40" s="171"/>
      <c r="KM40" s="171"/>
      <c r="KN40" s="171"/>
      <c r="KO40" s="171"/>
      <c r="KP40" s="171"/>
      <c r="KQ40" s="171"/>
      <c r="KR40" s="171"/>
      <c r="KS40" s="171"/>
      <c r="KT40" s="171"/>
      <c r="KU40" s="171"/>
    </row>
    <row r="41" spans="1:327" s="122" customFormat="1" x14ac:dyDescent="0.2">
      <c r="A41" s="124"/>
      <c r="B41" s="121"/>
      <c r="C41" s="121"/>
      <c r="D41" s="121"/>
      <c r="E41" s="121"/>
      <c r="F41" s="121"/>
      <c r="G41" s="121"/>
      <c r="L41" s="131"/>
      <c r="M41" s="125"/>
      <c r="O41" s="147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171"/>
      <c r="IA41" s="171"/>
      <c r="IB41" s="171"/>
      <c r="IC41" s="171"/>
      <c r="ID41" s="171"/>
      <c r="IE41" s="171"/>
      <c r="IF41" s="171"/>
      <c r="IG41" s="171"/>
      <c r="IH41" s="171"/>
      <c r="II41" s="171"/>
      <c r="IJ41" s="171"/>
      <c r="IK41" s="171"/>
      <c r="IL41" s="171"/>
      <c r="IM41" s="171"/>
      <c r="IN41" s="171"/>
      <c r="IO41" s="171"/>
      <c r="IP41" s="171"/>
      <c r="IQ41" s="171"/>
      <c r="IR41" s="171"/>
      <c r="IS41" s="171"/>
      <c r="IT41" s="171"/>
      <c r="IU41" s="171"/>
      <c r="IV41" s="171"/>
      <c r="IW41" s="171"/>
      <c r="IX41" s="171"/>
      <c r="IY41" s="171"/>
      <c r="IZ41" s="171"/>
      <c r="JA41" s="171"/>
      <c r="JB41" s="171"/>
      <c r="JC41" s="171"/>
      <c r="JD41" s="171"/>
      <c r="JE41" s="171"/>
      <c r="JF41" s="171"/>
      <c r="JG41" s="171"/>
      <c r="JH41" s="171"/>
      <c r="JI41" s="171"/>
      <c r="JJ41" s="171"/>
      <c r="JK41" s="171"/>
      <c r="JL41" s="171"/>
      <c r="JM41" s="171"/>
      <c r="JN41" s="171"/>
      <c r="JO41" s="171"/>
      <c r="JP41" s="171"/>
      <c r="JQ41" s="171"/>
      <c r="JR41" s="171"/>
      <c r="JS41" s="171"/>
      <c r="JT41" s="171"/>
      <c r="JU41" s="171"/>
      <c r="JV41" s="171"/>
      <c r="JW41" s="171"/>
      <c r="JX41" s="171"/>
      <c r="JY41" s="171"/>
      <c r="JZ41" s="171"/>
      <c r="KA41" s="171"/>
      <c r="KB41" s="171"/>
      <c r="KC41" s="171"/>
      <c r="KD41" s="171"/>
      <c r="KE41" s="171"/>
      <c r="KF41" s="171"/>
      <c r="KG41" s="171"/>
      <c r="KH41" s="171"/>
      <c r="KI41" s="171"/>
      <c r="KJ41" s="171"/>
      <c r="KK41" s="171"/>
      <c r="KL41" s="171"/>
      <c r="KM41" s="171"/>
      <c r="KN41" s="171"/>
      <c r="KO41" s="171"/>
      <c r="KP41" s="171"/>
      <c r="KQ41" s="171"/>
      <c r="KR41" s="171"/>
      <c r="KS41" s="171"/>
      <c r="KT41" s="171"/>
      <c r="KU41" s="171"/>
    </row>
    <row r="42" spans="1:327" s="122" customFormat="1" x14ac:dyDescent="0.2">
      <c r="A42" s="124"/>
      <c r="B42" s="121"/>
      <c r="C42" s="121"/>
      <c r="D42" s="121"/>
      <c r="E42" s="121"/>
      <c r="F42" s="121"/>
      <c r="G42" s="121"/>
      <c r="L42" s="131"/>
      <c r="M42" s="125"/>
      <c r="O42" s="147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171"/>
      <c r="HT42" s="171"/>
      <c r="HU42" s="171"/>
      <c r="HV42" s="171"/>
      <c r="HW42" s="171"/>
      <c r="HX42" s="171"/>
      <c r="HY42" s="171"/>
      <c r="HZ42" s="171"/>
      <c r="IA42" s="171"/>
      <c r="IB42" s="171"/>
      <c r="IC42" s="171"/>
      <c r="ID42" s="171"/>
      <c r="IE42" s="171"/>
      <c r="IF42" s="171"/>
      <c r="IG42" s="171"/>
      <c r="IH42" s="171"/>
      <c r="II42" s="171"/>
      <c r="IJ42" s="171"/>
      <c r="IK42" s="171"/>
      <c r="IL42" s="171"/>
      <c r="IM42" s="171"/>
      <c r="IN42" s="171"/>
      <c r="IO42" s="171"/>
      <c r="IP42" s="171"/>
      <c r="IQ42" s="171"/>
      <c r="IR42" s="171"/>
      <c r="IS42" s="171"/>
      <c r="IT42" s="171"/>
      <c r="IU42" s="171"/>
      <c r="IV42" s="171"/>
      <c r="IW42" s="171"/>
      <c r="IX42" s="171"/>
      <c r="IY42" s="171"/>
      <c r="IZ42" s="171"/>
      <c r="JA42" s="171"/>
      <c r="JB42" s="171"/>
      <c r="JC42" s="171"/>
      <c r="JD42" s="171"/>
      <c r="JE42" s="171"/>
      <c r="JF42" s="171"/>
      <c r="JG42" s="171"/>
      <c r="JH42" s="171"/>
      <c r="JI42" s="171"/>
      <c r="JJ42" s="171"/>
      <c r="JK42" s="171"/>
      <c r="JL42" s="171"/>
      <c r="JM42" s="171"/>
      <c r="JN42" s="171"/>
      <c r="JO42" s="171"/>
      <c r="JP42" s="171"/>
      <c r="JQ42" s="171"/>
      <c r="JR42" s="171"/>
      <c r="JS42" s="171"/>
      <c r="JT42" s="171"/>
      <c r="JU42" s="171"/>
      <c r="JV42" s="171"/>
      <c r="JW42" s="171"/>
      <c r="JX42" s="171"/>
      <c r="JY42" s="171"/>
      <c r="JZ42" s="171"/>
      <c r="KA42" s="171"/>
      <c r="KB42" s="171"/>
      <c r="KC42" s="171"/>
      <c r="KD42" s="171"/>
      <c r="KE42" s="171"/>
      <c r="KF42" s="171"/>
      <c r="KG42" s="171"/>
      <c r="KH42" s="171"/>
      <c r="KI42" s="171"/>
      <c r="KJ42" s="171"/>
      <c r="KK42" s="171"/>
      <c r="KL42" s="171"/>
      <c r="KM42" s="171"/>
      <c r="KN42" s="171"/>
      <c r="KO42" s="171"/>
      <c r="KP42" s="171"/>
      <c r="KQ42" s="171"/>
      <c r="KR42" s="171"/>
      <c r="KS42" s="171"/>
      <c r="KT42" s="171"/>
      <c r="KU42" s="171"/>
    </row>
    <row r="43" spans="1:327" s="122" customFormat="1" x14ac:dyDescent="0.2">
      <c r="A43" s="124"/>
      <c r="B43" s="121"/>
      <c r="C43" s="121"/>
      <c r="D43" s="121"/>
      <c r="E43" s="121"/>
      <c r="F43" s="121"/>
      <c r="G43" s="121"/>
      <c r="L43" s="131"/>
      <c r="M43" s="127"/>
      <c r="O43" s="147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171"/>
      <c r="FZ43" s="171"/>
      <c r="GA43" s="171"/>
      <c r="GB43" s="171"/>
      <c r="GC43" s="171"/>
      <c r="GD43" s="171"/>
      <c r="GE43" s="171"/>
      <c r="GF43" s="171"/>
      <c r="GG43" s="171"/>
      <c r="GH43" s="171"/>
      <c r="GI43" s="171"/>
      <c r="GJ43" s="171"/>
      <c r="GK43" s="171"/>
      <c r="GL43" s="171"/>
      <c r="GM43" s="171"/>
      <c r="GN43" s="171"/>
      <c r="GO43" s="171"/>
      <c r="GP43" s="171"/>
      <c r="GQ43" s="171"/>
      <c r="GR43" s="171"/>
      <c r="GS43" s="171"/>
      <c r="GT43" s="171"/>
      <c r="GU43" s="171"/>
      <c r="GV43" s="171"/>
      <c r="GW43" s="171"/>
      <c r="GX43" s="171"/>
      <c r="GY43" s="171"/>
      <c r="GZ43" s="171"/>
      <c r="HA43" s="171"/>
      <c r="HB43" s="171"/>
      <c r="HC43" s="171"/>
      <c r="HD43" s="171"/>
      <c r="HE43" s="171"/>
      <c r="HF43" s="171"/>
      <c r="HG43" s="171"/>
      <c r="HH43" s="171"/>
      <c r="HI43" s="171"/>
      <c r="HJ43" s="171"/>
      <c r="HK43" s="171"/>
      <c r="HL43" s="171"/>
      <c r="HM43" s="171"/>
      <c r="HN43" s="171"/>
      <c r="HO43" s="171"/>
      <c r="HP43" s="171"/>
      <c r="HQ43" s="171"/>
      <c r="HR43" s="171"/>
      <c r="HS43" s="171"/>
      <c r="HT43" s="171"/>
      <c r="HU43" s="171"/>
      <c r="HV43" s="171"/>
      <c r="HW43" s="171"/>
      <c r="HX43" s="171"/>
      <c r="HY43" s="171"/>
      <c r="HZ43" s="171"/>
      <c r="IA43" s="171"/>
      <c r="IB43" s="171"/>
      <c r="IC43" s="171"/>
      <c r="ID43" s="171"/>
      <c r="IE43" s="171"/>
      <c r="IF43" s="171"/>
      <c r="IG43" s="171"/>
      <c r="IH43" s="171"/>
      <c r="II43" s="171"/>
      <c r="IJ43" s="171"/>
      <c r="IK43" s="171"/>
      <c r="IL43" s="171"/>
      <c r="IM43" s="171"/>
      <c r="IN43" s="171"/>
      <c r="IO43" s="171"/>
      <c r="IP43" s="171"/>
      <c r="IQ43" s="171"/>
      <c r="IR43" s="171"/>
      <c r="IS43" s="171"/>
      <c r="IT43" s="171"/>
      <c r="IU43" s="171"/>
      <c r="IV43" s="171"/>
      <c r="IW43" s="171"/>
      <c r="IX43" s="171"/>
      <c r="IY43" s="171"/>
      <c r="IZ43" s="171"/>
      <c r="JA43" s="171"/>
      <c r="JB43" s="171"/>
      <c r="JC43" s="171"/>
      <c r="JD43" s="171"/>
      <c r="JE43" s="171"/>
      <c r="JF43" s="171"/>
      <c r="JG43" s="171"/>
      <c r="JH43" s="171"/>
      <c r="JI43" s="171"/>
      <c r="JJ43" s="171"/>
      <c r="JK43" s="171"/>
      <c r="JL43" s="171"/>
      <c r="JM43" s="171"/>
      <c r="JN43" s="171"/>
      <c r="JO43" s="171"/>
      <c r="JP43" s="171"/>
      <c r="JQ43" s="171"/>
      <c r="JR43" s="171"/>
      <c r="JS43" s="171"/>
      <c r="JT43" s="171"/>
      <c r="JU43" s="171"/>
      <c r="JV43" s="171"/>
      <c r="JW43" s="171"/>
      <c r="JX43" s="171"/>
      <c r="JY43" s="171"/>
      <c r="JZ43" s="171"/>
      <c r="KA43" s="171"/>
      <c r="KB43" s="171"/>
      <c r="KC43" s="171"/>
      <c r="KD43" s="171"/>
      <c r="KE43" s="171"/>
      <c r="KF43" s="171"/>
      <c r="KG43" s="171"/>
      <c r="KH43" s="171"/>
      <c r="KI43" s="171"/>
      <c r="KJ43" s="171"/>
      <c r="KK43" s="171"/>
      <c r="KL43" s="171"/>
      <c r="KM43" s="171"/>
      <c r="KN43" s="171"/>
      <c r="KO43" s="171"/>
      <c r="KP43" s="171"/>
      <c r="KQ43" s="171"/>
      <c r="KR43" s="171"/>
      <c r="KS43" s="171"/>
      <c r="KT43" s="171"/>
      <c r="KU43" s="171"/>
    </row>
    <row r="44" spans="1:327" s="122" customFormat="1" x14ac:dyDescent="0.2">
      <c r="A44" s="124"/>
      <c r="B44" s="121"/>
      <c r="C44" s="121"/>
      <c r="D44" s="121"/>
      <c r="E44" s="121"/>
      <c r="F44" s="121"/>
      <c r="G44" s="121"/>
      <c r="L44" s="131"/>
      <c r="M44" s="127"/>
      <c r="O44" s="147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  <c r="HF44" s="171"/>
      <c r="HG44" s="171"/>
      <c r="HH44" s="171"/>
      <c r="HI44" s="171"/>
      <c r="HJ44" s="171"/>
      <c r="HK44" s="171"/>
      <c r="HL44" s="171"/>
      <c r="HM44" s="171"/>
      <c r="HN44" s="171"/>
      <c r="HO44" s="171"/>
      <c r="HP44" s="171"/>
      <c r="HQ44" s="171"/>
      <c r="HR44" s="171"/>
      <c r="HS44" s="171"/>
      <c r="HT44" s="171"/>
      <c r="HU44" s="171"/>
      <c r="HV44" s="171"/>
      <c r="HW44" s="171"/>
      <c r="HX44" s="171"/>
      <c r="HY44" s="171"/>
      <c r="HZ44" s="171"/>
      <c r="IA44" s="171"/>
      <c r="IB44" s="171"/>
      <c r="IC44" s="171"/>
      <c r="ID44" s="171"/>
      <c r="IE44" s="171"/>
      <c r="IF44" s="171"/>
      <c r="IG44" s="171"/>
      <c r="IH44" s="171"/>
      <c r="II44" s="171"/>
      <c r="IJ44" s="171"/>
      <c r="IK44" s="171"/>
      <c r="IL44" s="171"/>
      <c r="IM44" s="171"/>
      <c r="IN44" s="171"/>
      <c r="IO44" s="171"/>
      <c r="IP44" s="171"/>
      <c r="IQ44" s="171"/>
      <c r="IR44" s="171"/>
      <c r="IS44" s="171"/>
      <c r="IT44" s="171"/>
      <c r="IU44" s="171"/>
      <c r="IV44" s="171"/>
      <c r="IW44" s="171"/>
      <c r="IX44" s="171"/>
      <c r="IY44" s="171"/>
      <c r="IZ44" s="171"/>
      <c r="JA44" s="171"/>
      <c r="JB44" s="171"/>
      <c r="JC44" s="171"/>
      <c r="JD44" s="171"/>
      <c r="JE44" s="171"/>
      <c r="JF44" s="171"/>
      <c r="JG44" s="171"/>
      <c r="JH44" s="171"/>
      <c r="JI44" s="171"/>
      <c r="JJ44" s="171"/>
      <c r="JK44" s="171"/>
      <c r="JL44" s="171"/>
      <c r="JM44" s="171"/>
      <c r="JN44" s="171"/>
      <c r="JO44" s="171"/>
      <c r="JP44" s="171"/>
      <c r="JQ44" s="171"/>
      <c r="JR44" s="171"/>
      <c r="JS44" s="171"/>
      <c r="JT44" s="171"/>
      <c r="JU44" s="171"/>
      <c r="JV44" s="171"/>
      <c r="JW44" s="171"/>
      <c r="JX44" s="171"/>
      <c r="JY44" s="171"/>
      <c r="JZ44" s="171"/>
      <c r="KA44" s="171"/>
      <c r="KB44" s="171"/>
      <c r="KC44" s="171"/>
      <c r="KD44" s="171"/>
      <c r="KE44" s="171"/>
      <c r="KF44" s="171"/>
      <c r="KG44" s="171"/>
      <c r="KH44" s="171"/>
      <c r="KI44" s="171"/>
      <c r="KJ44" s="171"/>
      <c r="KK44" s="171"/>
      <c r="KL44" s="171"/>
      <c r="KM44" s="171"/>
      <c r="KN44" s="171"/>
      <c r="KO44" s="171"/>
      <c r="KP44" s="171"/>
      <c r="KQ44" s="171"/>
      <c r="KR44" s="171"/>
      <c r="KS44" s="171"/>
      <c r="KT44" s="171"/>
      <c r="KU44" s="171"/>
    </row>
    <row r="45" spans="1:327" s="122" customFormat="1" x14ac:dyDescent="0.2">
      <c r="A45" s="124"/>
      <c r="B45" s="121"/>
      <c r="C45" s="121"/>
      <c r="D45" s="121"/>
      <c r="E45" s="121"/>
      <c r="F45" s="121"/>
      <c r="G45" s="121"/>
      <c r="L45" s="131"/>
      <c r="M45" s="127"/>
      <c r="O45" s="147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  <c r="HJ45" s="171"/>
      <c r="HK45" s="171"/>
      <c r="HL45" s="171"/>
      <c r="HM45" s="171"/>
      <c r="HN45" s="171"/>
      <c r="HO45" s="171"/>
      <c r="HP45" s="171"/>
      <c r="HQ45" s="171"/>
      <c r="HR45" s="171"/>
      <c r="HS45" s="171"/>
      <c r="HT45" s="171"/>
      <c r="HU45" s="171"/>
      <c r="HV45" s="171"/>
      <c r="HW45" s="171"/>
      <c r="HX45" s="171"/>
      <c r="HY45" s="171"/>
      <c r="HZ45" s="171"/>
      <c r="IA45" s="171"/>
      <c r="IB45" s="171"/>
      <c r="IC45" s="171"/>
      <c r="ID45" s="171"/>
      <c r="IE45" s="171"/>
      <c r="IF45" s="171"/>
      <c r="IG45" s="171"/>
      <c r="IH45" s="171"/>
      <c r="II45" s="171"/>
      <c r="IJ45" s="171"/>
      <c r="IK45" s="171"/>
      <c r="IL45" s="171"/>
      <c r="IM45" s="171"/>
      <c r="IN45" s="171"/>
      <c r="IO45" s="171"/>
      <c r="IP45" s="171"/>
      <c r="IQ45" s="171"/>
      <c r="IR45" s="171"/>
      <c r="IS45" s="171"/>
      <c r="IT45" s="171"/>
      <c r="IU45" s="171"/>
      <c r="IV45" s="171"/>
      <c r="IW45" s="171"/>
      <c r="IX45" s="171"/>
      <c r="IY45" s="171"/>
      <c r="IZ45" s="171"/>
      <c r="JA45" s="171"/>
      <c r="JB45" s="171"/>
      <c r="JC45" s="171"/>
      <c r="JD45" s="171"/>
      <c r="JE45" s="171"/>
      <c r="JF45" s="171"/>
      <c r="JG45" s="171"/>
      <c r="JH45" s="171"/>
      <c r="JI45" s="171"/>
      <c r="JJ45" s="171"/>
      <c r="JK45" s="171"/>
      <c r="JL45" s="171"/>
      <c r="JM45" s="171"/>
      <c r="JN45" s="171"/>
      <c r="JO45" s="171"/>
      <c r="JP45" s="171"/>
      <c r="JQ45" s="171"/>
      <c r="JR45" s="171"/>
      <c r="JS45" s="171"/>
      <c r="JT45" s="171"/>
      <c r="JU45" s="171"/>
      <c r="JV45" s="171"/>
      <c r="JW45" s="171"/>
      <c r="JX45" s="171"/>
      <c r="JY45" s="171"/>
      <c r="JZ45" s="171"/>
      <c r="KA45" s="171"/>
      <c r="KB45" s="171"/>
      <c r="KC45" s="171"/>
      <c r="KD45" s="171"/>
      <c r="KE45" s="171"/>
      <c r="KF45" s="171"/>
      <c r="KG45" s="171"/>
      <c r="KH45" s="171"/>
      <c r="KI45" s="171"/>
      <c r="KJ45" s="171"/>
      <c r="KK45" s="171"/>
      <c r="KL45" s="171"/>
      <c r="KM45" s="171"/>
      <c r="KN45" s="171"/>
      <c r="KO45" s="171"/>
      <c r="KP45" s="171"/>
      <c r="KQ45" s="171"/>
      <c r="KR45" s="171"/>
      <c r="KS45" s="171"/>
      <c r="KT45" s="171"/>
      <c r="KU45" s="171"/>
    </row>
    <row r="46" spans="1:327" s="122" customFormat="1" x14ac:dyDescent="0.2">
      <c r="A46" s="124"/>
      <c r="B46" s="121"/>
      <c r="C46" s="121"/>
      <c r="D46" s="121"/>
      <c r="E46" s="121"/>
      <c r="F46" s="121"/>
      <c r="G46" s="121"/>
      <c r="L46" s="131"/>
      <c r="M46" s="127"/>
      <c r="O46" s="147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1"/>
      <c r="GM46" s="171"/>
      <c r="GN46" s="171"/>
      <c r="GO46" s="171"/>
      <c r="GP46" s="171"/>
      <c r="GQ46" s="171"/>
      <c r="GR46" s="171"/>
      <c r="GS46" s="171"/>
      <c r="GT46" s="171"/>
      <c r="GU46" s="171"/>
      <c r="GV46" s="171"/>
      <c r="GW46" s="171"/>
      <c r="GX46" s="171"/>
      <c r="GY46" s="171"/>
      <c r="GZ46" s="171"/>
      <c r="HA46" s="171"/>
      <c r="HB46" s="171"/>
      <c r="HC46" s="171"/>
      <c r="HD46" s="171"/>
      <c r="HE46" s="171"/>
      <c r="HF46" s="171"/>
      <c r="HG46" s="171"/>
      <c r="HH46" s="171"/>
      <c r="HI46" s="171"/>
      <c r="HJ46" s="171"/>
      <c r="HK46" s="171"/>
      <c r="HL46" s="171"/>
      <c r="HM46" s="171"/>
      <c r="HN46" s="171"/>
      <c r="HO46" s="171"/>
      <c r="HP46" s="171"/>
      <c r="HQ46" s="171"/>
      <c r="HR46" s="171"/>
      <c r="HS46" s="171"/>
      <c r="HT46" s="171"/>
      <c r="HU46" s="171"/>
      <c r="HV46" s="171"/>
      <c r="HW46" s="171"/>
      <c r="HX46" s="171"/>
      <c r="HY46" s="171"/>
      <c r="HZ46" s="171"/>
      <c r="IA46" s="171"/>
      <c r="IB46" s="171"/>
      <c r="IC46" s="171"/>
      <c r="ID46" s="171"/>
      <c r="IE46" s="171"/>
      <c r="IF46" s="171"/>
      <c r="IG46" s="171"/>
      <c r="IH46" s="171"/>
      <c r="II46" s="171"/>
      <c r="IJ46" s="171"/>
      <c r="IK46" s="171"/>
      <c r="IL46" s="171"/>
      <c r="IM46" s="171"/>
      <c r="IN46" s="171"/>
      <c r="IO46" s="171"/>
      <c r="IP46" s="171"/>
      <c r="IQ46" s="171"/>
      <c r="IR46" s="171"/>
      <c r="IS46" s="171"/>
      <c r="IT46" s="171"/>
      <c r="IU46" s="171"/>
      <c r="IV46" s="171"/>
      <c r="IW46" s="171"/>
      <c r="IX46" s="171"/>
      <c r="IY46" s="171"/>
      <c r="IZ46" s="171"/>
      <c r="JA46" s="171"/>
      <c r="JB46" s="171"/>
      <c r="JC46" s="171"/>
      <c r="JD46" s="171"/>
      <c r="JE46" s="171"/>
      <c r="JF46" s="171"/>
      <c r="JG46" s="171"/>
      <c r="JH46" s="171"/>
      <c r="JI46" s="171"/>
      <c r="JJ46" s="171"/>
      <c r="JK46" s="171"/>
      <c r="JL46" s="171"/>
      <c r="JM46" s="171"/>
      <c r="JN46" s="171"/>
      <c r="JO46" s="171"/>
      <c r="JP46" s="171"/>
      <c r="JQ46" s="171"/>
      <c r="JR46" s="171"/>
      <c r="JS46" s="171"/>
      <c r="JT46" s="171"/>
      <c r="JU46" s="171"/>
      <c r="JV46" s="171"/>
      <c r="JW46" s="171"/>
      <c r="JX46" s="171"/>
      <c r="JY46" s="171"/>
      <c r="JZ46" s="171"/>
      <c r="KA46" s="171"/>
      <c r="KB46" s="171"/>
      <c r="KC46" s="171"/>
      <c r="KD46" s="171"/>
      <c r="KE46" s="171"/>
      <c r="KF46" s="171"/>
      <c r="KG46" s="171"/>
      <c r="KH46" s="171"/>
      <c r="KI46" s="171"/>
      <c r="KJ46" s="171"/>
      <c r="KK46" s="171"/>
      <c r="KL46" s="171"/>
      <c r="KM46" s="171"/>
      <c r="KN46" s="171"/>
      <c r="KO46" s="171"/>
      <c r="KP46" s="171"/>
      <c r="KQ46" s="171"/>
      <c r="KR46" s="171"/>
      <c r="KS46" s="171"/>
      <c r="KT46" s="171"/>
      <c r="KU46" s="171"/>
    </row>
    <row r="47" spans="1:327" s="122" customFormat="1" x14ac:dyDescent="0.2">
      <c r="A47" s="124"/>
      <c r="B47" s="121"/>
      <c r="C47" s="121"/>
      <c r="D47" s="121"/>
      <c r="E47" s="121"/>
      <c r="F47" s="121"/>
      <c r="G47" s="121"/>
      <c r="L47" s="131"/>
      <c r="M47" s="127"/>
      <c r="O47" s="147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171"/>
      <c r="FZ47" s="171"/>
      <c r="GA47" s="171"/>
      <c r="GB47" s="171"/>
      <c r="GC47" s="171"/>
      <c r="GD47" s="171"/>
      <c r="GE47" s="171"/>
      <c r="GF47" s="171"/>
      <c r="GG47" s="171"/>
      <c r="GH47" s="171"/>
      <c r="GI47" s="171"/>
      <c r="GJ47" s="171"/>
      <c r="GK47" s="171"/>
      <c r="GL47" s="171"/>
      <c r="GM47" s="171"/>
      <c r="GN47" s="171"/>
      <c r="GO47" s="171"/>
      <c r="GP47" s="171"/>
      <c r="GQ47" s="171"/>
      <c r="GR47" s="171"/>
      <c r="GS47" s="171"/>
      <c r="GT47" s="171"/>
      <c r="GU47" s="171"/>
      <c r="GV47" s="171"/>
      <c r="GW47" s="171"/>
      <c r="GX47" s="171"/>
      <c r="GY47" s="171"/>
      <c r="GZ47" s="171"/>
      <c r="HA47" s="171"/>
      <c r="HB47" s="171"/>
      <c r="HC47" s="171"/>
      <c r="HD47" s="171"/>
      <c r="HE47" s="171"/>
      <c r="HF47" s="171"/>
      <c r="HG47" s="171"/>
      <c r="HH47" s="171"/>
      <c r="HI47" s="171"/>
      <c r="HJ47" s="171"/>
      <c r="HK47" s="171"/>
      <c r="HL47" s="171"/>
      <c r="HM47" s="171"/>
      <c r="HN47" s="171"/>
      <c r="HO47" s="171"/>
      <c r="HP47" s="171"/>
      <c r="HQ47" s="171"/>
      <c r="HR47" s="171"/>
      <c r="HS47" s="171"/>
      <c r="HT47" s="171"/>
      <c r="HU47" s="171"/>
      <c r="HV47" s="171"/>
      <c r="HW47" s="171"/>
      <c r="HX47" s="171"/>
      <c r="HY47" s="171"/>
      <c r="HZ47" s="171"/>
      <c r="IA47" s="171"/>
      <c r="IB47" s="171"/>
      <c r="IC47" s="171"/>
      <c r="ID47" s="171"/>
      <c r="IE47" s="171"/>
      <c r="IF47" s="171"/>
      <c r="IG47" s="171"/>
      <c r="IH47" s="171"/>
      <c r="II47" s="171"/>
      <c r="IJ47" s="171"/>
      <c r="IK47" s="171"/>
      <c r="IL47" s="171"/>
      <c r="IM47" s="171"/>
      <c r="IN47" s="171"/>
      <c r="IO47" s="171"/>
      <c r="IP47" s="171"/>
      <c r="IQ47" s="171"/>
      <c r="IR47" s="171"/>
      <c r="IS47" s="171"/>
      <c r="IT47" s="171"/>
      <c r="IU47" s="171"/>
      <c r="IV47" s="171"/>
      <c r="IW47" s="171"/>
      <c r="IX47" s="171"/>
      <c r="IY47" s="171"/>
      <c r="IZ47" s="171"/>
      <c r="JA47" s="171"/>
      <c r="JB47" s="171"/>
      <c r="JC47" s="171"/>
      <c r="JD47" s="171"/>
      <c r="JE47" s="171"/>
      <c r="JF47" s="171"/>
      <c r="JG47" s="171"/>
      <c r="JH47" s="171"/>
      <c r="JI47" s="171"/>
      <c r="JJ47" s="171"/>
      <c r="JK47" s="171"/>
      <c r="JL47" s="171"/>
      <c r="JM47" s="171"/>
      <c r="JN47" s="171"/>
      <c r="JO47" s="171"/>
      <c r="JP47" s="171"/>
      <c r="JQ47" s="171"/>
      <c r="JR47" s="171"/>
      <c r="JS47" s="171"/>
      <c r="JT47" s="171"/>
      <c r="JU47" s="171"/>
      <c r="JV47" s="171"/>
      <c r="JW47" s="171"/>
      <c r="JX47" s="171"/>
      <c r="JY47" s="171"/>
      <c r="JZ47" s="171"/>
      <c r="KA47" s="171"/>
      <c r="KB47" s="171"/>
      <c r="KC47" s="171"/>
      <c r="KD47" s="171"/>
      <c r="KE47" s="171"/>
      <c r="KF47" s="171"/>
      <c r="KG47" s="171"/>
      <c r="KH47" s="171"/>
      <c r="KI47" s="171"/>
      <c r="KJ47" s="171"/>
      <c r="KK47" s="171"/>
      <c r="KL47" s="171"/>
      <c r="KM47" s="171"/>
      <c r="KN47" s="171"/>
      <c r="KO47" s="171"/>
      <c r="KP47" s="171"/>
      <c r="KQ47" s="171"/>
      <c r="KR47" s="171"/>
      <c r="KS47" s="171"/>
      <c r="KT47" s="171"/>
      <c r="KU47" s="171"/>
    </row>
    <row r="48" spans="1:327" s="147" customFormat="1" x14ac:dyDescent="0.2">
      <c r="A48" s="124"/>
      <c r="B48" s="121"/>
      <c r="C48" s="121"/>
      <c r="D48" s="121"/>
      <c r="E48" s="121"/>
      <c r="F48" s="121"/>
      <c r="G48" s="121"/>
      <c r="L48" s="183"/>
    </row>
    <row r="49" spans="1:16" s="147" customFormat="1" x14ac:dyDescent="0.2">
      <c r="A49" s="124"/>
      <c r="B49" s="121"/>
      <c r="C49" s="121"/>
      <c r="D49" s="121"/>
      <c r="E49" s="121"/>
      <c r="F49" s="121"/>
      <c r="G49" s="121"/>
    </row>
    <row r="50" spans="1:16" s="147" customFormat="1" ht="12" customHeight="1" x14ac:dyDescent="0.2">
      <c r="A50" s="124"/>
      <c r="B50" s="121"/>
      <c r="C50" s="121"/>
      <c r="D50" s="121"/>
      <c r="E50" s="121"/>
      <c r="F50" s="121"/>
      <c r="G50" s="121"/>
    </row>
    <row r="51" spans="1:16" s="147" customFormat="1" x14ac:dyDescent="0.2">
      <c r="D51" s="133">
        <v>1995</v>
      </c>
      <c r="E51" s="134" t="str">
        <f>CONCATENATE("1","/","1","/",$O$4)</f>
        <v>1/1/2020</v>
      </c>
      <c r="F51" s="135">
        <f t="shared" ref="F51:F59" si="1">DATE(RIGHT(E51,4),MID(E51,3,1),LEFT(E51,1))</f>
        <v>43831</v>
      </c>
      <c r="G51" s="136">
        <v>2015</v>
      </c>
      <c r="H51" s="136" t="s">
        <v>94</v>
      </c>
      <c r="I51" s="133"/>
      <c r="J51" s="133">
        <v>1995</v>
      </c>
      <c r="K51" s="130"/>
      <c r="L51" s="137"/>
      <c r="M51" s="130" t="s">
        <v>93</v>
      </c>
      <c r="N51" s="176"/>
      <c r="O51" s="177"/>
      <c r="P51" s="178"/>
    </row>
    <row r="52" spans="1:16" s="147" customFormat="1" x14ac:dyDescent="0.2">
      <c r="D52" s="133">
        <v>1996</v>
      </c>
      <c r="E52" s="134" t="str">
        <f>CONCATENATE("1","/","2","/",$O$4)</f>
        <v>1/2/2020</v>
      </c>
      <c r="F52" s="135">
        <f t="shared" si="1"/>
        <v>43862</v>
      </c>
      <c r="G52" s="138" t="str">
        <f>CONCATENATE("1","/","12","/",$G$51)</f>
        <v>1/12/2015</v>
      </c>
      <c r="H52" s="130"/>
      <c r="I52" s="139">
        <f>SBPE_Mensal!A20</f>
        <v>29952</v>
      </c>
      <c r="J52" s="133">
        <v>1996</v>
      </c>
      <c r="K52" s="130"/>
      <c r="L52" s="137"/>
      <c r="M52" s="130"/>
      <c r="N52" s="176"/>
      <c r="O52" s="177"/>
      <c r="P52" s="179"/>
    </row>
    <row r="53" spans="1:16" s="147" customFormat="1" x14ac:dyDescent="0.2">
      <c r="D53" s="133">
        <v>1997</v>
      </c>
      <c r="E53" s="134" t="str">
        <f>CONCATENATE("1","/","3","/",$O$4)</f>
        <v>1/3/2020</v>
      </c>
      <c r="F53" s="135">
        <f t="shared" si="1"/>
        <v>43891</v>
      </c>
      <c r="G53" s="140">
        <f>DATE(RIGHT(G52,4),MID(G52,3,2),LEFT(G52,1))</f>
        <v>42339</v>
      </c>
      <c r="H53" s="136" t="s">
        <v>95</v>
      </c>
      <c r="I53" s="133"/>
      <c r="J53" s="133">
        <v>1997</v>
      </c>
      <c r="K53" s="130"/>
      <c r="L53" s="137"/>
      <c r="M53" s="130"/>
      <c r="N53" s="176"/>
      <c r="O53" s="177"/>
      <c r="P53" s="180"/>
    </row>
    <row r="54" spans="1:16" s="147" customFormat="1" x14ac:dyDescent="0.2">
      <c r="D54" s="133">
        <v>1998</v>
      </c>
      <c r="E54" s="134" t="str">
        <f>CONCATENATE("1","/","4","/",$O$4)</f>
        <v>1/4/2020</v>
      </c>
      <c r="F54" s="135">
        <f t="shared" si="1"/>
        <v>43922</v>
      </c>
      <c r="G54" s="133"/>
      <c r="H54" s="130"/>
      <c r="I54" s="139">
        <v>44166</v>
      </c>
      <c r="J54" s="133">
        <v>1998</v>
      </c>
      <c r="K54" s="130"/>
      <c r="L54" s="137"/>
      <c r="M54" s="130"/>
      <c r="N54" s="176"/>
      <c r="O54" s="177"/>
    </row>
    <row r="55" spans="1:16" s="147" customFormat="1" x14ac:dyDescent="0.2">
      <c r="D55" s="133">
        <v>1999</v>
      </c>
      <c r="E55" s="134" t="str">
        <f>CONCATENATE("1","/","5","/",$O$4)</f>
        <v>1/5/2020</v>
      </c>
      <c r="F55" s="135">
        <f t="shared" si="1"/>
        <v>43952</v>
      </c>
      <c r="G55" s="133"/>
      <c r="H55" s="133"/>
      <c r="I55" s="133"/>
      <c r="J55" s="133">
        <v>1999</v>
      </c>
      <c r="K55" s="130"/>
      <c r="L55" s="137"/>
      <c r="M55" s="130"/>
      <c r="N55" s="176"/>
      <c r="O55" s="177"/>
    </row>
    <row r="56" spans="1:16" s="147" customFormat="1" x14ac:dyDescent="0.2">
      <c r="D56" s="133">
        <v>2000</v>
      </c>
      <c r="E56" s="134" t="str">
        <f>CONCATENATE("1","/","6","/",$O$4)</f>
        <v>1/6/2020</v>
      </c>
      <c r="F56" s="135">
        <f t="shared" si="1"/>
        <v>43983</v>
      </c>
      <c r="G56" s="133"/>
      <c r="H56" s="133"/>
      <c r="I56" s="133"/>
      <c r="J56" s="133">
        <v>2000</v>
      </c>
      <c r="K56" s="130"/>
      <c r="L56" s="137"/>
      <c r="M56" s="130"/>
      <c r="N56" s="176"/>
      <c r="O56" s="177"/>
    </row>
    <row r="57" spans="1:16" s="147" customFormat="1" x14ac:dyDescent="0.2">
      <c r="D57" s="133">
        <v>2001</v>
      </c>
      <c r="E57" s="134" t="str">
        <f>CONCATENATE("1","/","7","/",$O$4)</f>
        <v>1/7/2020</v>
      </c>
      <c r="F57" s="135">
        <f t="shared" si="1"/>
        <v>44013</v>
      </c>
      <c r="G57" s="133"/>
      <c r="H57" s="133"/>
      <c r="I57" s="133"/>
      <c r="J57" s="133">
        <v>2001</v>
      </c>
      <c r="K57" s="130"/>
      <c r="L57" s="137"/>
      <c r="M57" s="130"/>
      <c r="N57" s="176"/>
      <c r="O57" s="177"/>
    </row>
    <row r="58" spans="1:16" s="147" customFormat="1" x14ac:dyDescent="0.2">
      <c r="D58" s="133">
        <v>2002</v>
      </c>
      <c r="E58" s="134" t="str">
        <f>CONCATENATE("1","/","8","/",$O$4)</f>
        <v>1/8/2020</v>
      </c>
      <c r="F58" s="135">
        <f t="shared" si="1"/>
        <v>44044</v>
      </c>
      <c r="G58" s="133"/>
      <c r="H58" s="133"/>
      <c r="I58" s="133"/>
      <c r="J58" s="133">
        <v>2002</v>
      </c>
      <c r="K58" s="130"/>
      <c r="L58" s="137"/>
      <c r="M58" s="130"/>
      <c r="N58" s="176"/>
      <c r="O58" s="177"/>
    </row>
    <row r="59" spans="1:16" s="147" customFormat="1" x14ac:dyDescent="0.2">
      <c r="D59" s="133">
        <v>2003</v>
      </c>
      <c r="E59" s="134" t="str">
        <f>CONCATENATE("1","/","9","/",$O$4)</f>
        <v>1/9/2020</v>
      </c>
      <c r="F59" s="135">
        <f t="shared" si="1"/>
        <v>44075</v>
      </c>
      <c r="G59" s="133"/>
      <c r="H59" s="133"/>
      <c r="I59" s="133"/>
      <c r="J59" s="133">
        <v>2003</v>
      </c>
      <c r="K59" s="130"/>
      <c r="L59" s="137"/>
      <c r="M59" s="130"/>
      <c r="N59" s="176"/>
      <c r="O59" s="177"/>
    </row>
    <row r="60" spans="1:16" s="147" customFormat="1" x14ac:dyDescent="0.2">
      <c r="D60" s="133">
        <v>2004</v>
      </c>
      <c r="E60" s="134" t="str">
        <f>CONCATENATE("1","/","10","/",$O$4)</f>
        <v>1/10/2020</v>
      </c>
      <c r="F60" s="135">
        <f>DATE(RIGHT(E60,4),MID(E60,3,2),LEFT(E60,1))</f>
        <v>44105</v>
      </c>
      <c r="G60" s="133"/>
      <c r="H60" s="133"/>
      <c r="I60" s="133"/>
      <c r="J60" s="133">
        <v>2004</v>
      </c>
      <c r="K60" s="130"/>
      <c r="L60" s="137"/>
      <c r="M60" s="130"/>
      <c r="N60" s="176"/>
      <c r="O60" s="177"/>
    </row>
    <row r="61" spans="1:16" s="147" customFormat="1" x14ac:dyDescent="0.2">
      <c r="D61" s="133">
        <v>2005</v>
      </c>
      <c r="E61" s="134" t="str">
        <f>CONCATENATE("1","/","11","/",$O$4)</f>
        <v>1/11/2020</v>
      </c>
      <c r="F61" s="135">
        <f>DATE(RIGHT(E61,4),MID(E61,3,2),LEFT(E61,1))</f>
        <v>44136</v>
      </c>
      <c r="G61" s="133"/>
      <c r="H61" s="133"/>
      <c r="I61" s="133"/>
      <c r="J61" s="133">
        <v>2005</v>
      </c>
      <c r="K61" s="130"/>
      <c r="L61" s="137"/>
      <c r="M61" s="130"/>
      <c r="N61" s="176"/>
      <c r="O61" s="177"/>
    </row>
    <row r="62" spans="1:16" s="147" customFormat="1" x14ac:dyDescent="0.2">
      <c r="D62" s="133">
        <v>2006</v>
      </c>
      <c r="E62" s="134" t="str">
        <f>CONCATENATE("1","/","12","/",$O$4)</f>
        <v>1/12/2020</v>
      </c>
      <c r="F62" s="135">
        <f>DATE(RIGHT(E62,4),MID(E62,3,2),LEFT(E62,1))</f>
        <v>44166</v>
      </c>
      <c r="G62" s="133"/>
      <c r="H62" s="133"/>
      <c r="I62" s="133"/>
      <c r="J62" s="133">
        <v>2006</v>
      </c>
      <c r="K62" s="130"/>
      <c r="L62" s="137"/>
      <c r="M62" s="130"/>
      <c r="N62" s="176"/>
      <c r="O62" s="177"/>
    </row>
    <row r="63" spans="1:16" s="147" customFormat="1" x14ac:dyDescent="0.2">
      <c r="D63" s="133">
        <v>2007</v>
      </c>
      <c r="E63" s="133"/>
      <c r="F63" s="133"/>
      <c r="G63" s="133"/>
      <c r="H63" s="133"/>
      <c r="I63" s="133"/>
      <c r="J63" s="133">
        <v>2007</v>
      </c>
      <c r="K63" s="130"/>
      <c r="L63" s="130"/>
      <c r="M63" s="130"/>
    </row>
    <row r="64" spans="1:16" s="147" customFormat="1" x14ac:dyDescent="0.2">
      <c r="D64" s="133">
        <v>2008</v>
      </c>
      <c r="E64" s="133"/>
      <c r="F64" s="133"/>
      <c r="G64" s="133"/>
      <c r="H64" s="133"/>
      <c r="I64" s="133"/>
      <c r="J64" s="133">
        <v>2008</v>
      </c>
      <c r="K64" s="130"/>
      <c r="L64" s="130"/>
      <c r="M64" s="130"/>
    </row>
    <row r="65" spans="2:16" s="148" customFormat="1" x14ac:dyDescent="0.2">
      <c r="B65" s="147"/>
      <c r="C65" s="147"/>
      <c r="D65" s="133">
        <v>2009</v>
      </c>
      <c r="E65" s="133"/>
      <c r="F65" s="133"/>
      <c r="G65" s="133"/>
      <c r="H65" s="133"/>
      <c r="I65" s="141"/>
      <c r="J65" s="133">
        <v>2009</v>
      </c>
      <c r="K65" s="130"/>
      <c r="L65" s="130"/>
      <c r="M65" s="130"/>
      <c r="N65" s="147"/>
      <c r="O65" s="147"/>
      <c r="P65" s="147"/>
    </row>
    <row r="66" spans="2:16" s="147" customFormat="1" x14ac:dyDescent="0.2">
      <c r="D66" s="133">
        <v>2010</v>
      </c>
      <c r="E66" s="133"/>
      <c r="F66" s="133"/>
      <c r="G66" s="133"/>
      <c r="H66" s="133"/>
      <c r="I66" s="133"/>
      <c r="J66" s="133">
        <v>2010</v>
      </c>
      <c r="K66" s="130"/>
      <c r="L66" s="130"/>
      <c r="M66" s="130"/>
    </row>
    <row r="67" spans="2:16" s="147" customFormat="1" x14ac:dyDescent="0.2">
      <c r="D67" s="133">
        <v>2011</v>
      </c>
      <c r="E67" s="133"/>
      <c r="F67" s="133"/>
      <c r="G67" s="133"/>
      <c r="H67" s="133"/>
      <c r="I67" s="133"/>
      <c r="J67" s="133">
        <v>2011</v>
      </c>
      <c r="K67" s="130"/>
      <c r="L67" s="130"/>
      <c r="M67" s="130"/>
    </row>
    <row r="68" spans="2:16" s="147" customFormat="1" x14ac:dyDescent="0.2">
      <c r="D68" s="133">
        <v>2012</v>
      </c>
      <c r="E68" s="133"/>
      <c r="F68" s="133"/>
      <c r="G68" s="133"/>
      <c r="H68" s="133"/>
      <c r="I68" s="133"/>
      <c r="J68" s="133">
        <v>2012</v>
      </c>
      <c r="K68" s="130"/>
      <c r="L68" s="130"/>
      <c r="M68" s="130"/>
    </row>
    <row r="69" spans="2:16" s="147" customFormat="1" x14ac:dyDescent="0.2">
      <c r="D69" s="133">
        <v>2013</v>
      </c>
      <c r="E69" s="133"/>
      <c r="F69" s="133"/>
      <c r="G69" s="133"/>
      <c r="H69" s="133"/>
      <c r="I69" s="133"/>
      <c r="J69" s="133">
        <v>2013</v>
      </c>
      <c r="K69" s="130"/>
      <c r="L69" s="130"/>
      <c r="M69" s="130"/>
    </row>
    <row r="70" spans="2:16" s="147" customFormat="1" x14ac:dyDescent="0.2">
      <c r="D70" s="133">
        <v>2014</v>
      </c>
      <c r="E70" s="133"/>
      <c r="F70" s="133"/>
      <c r="G70" s="133"/>
      <c r="H70" s="133"/>
      <c r="I70" s="133"/>
      <c r="J70" s="133">
        <v>2014</v>
      </c>
      <c r="K70" s="130"/>
      <c r="L70" s="130"/>
      <c r="M70" s="130"/>
    </row>
    <row r="71" spans="2:16" s="147" customFormat="1" x14ac:dyDescent="0.2">
      <c r="D71" s="133">
        <v>2015</v>
      </c>
      <c r="E71" s="133"/>
      <c r="F71" s="133"/>
      <c r="G71" s="133"/>
      <c r="H71" s="133"/>
      <c r="I71" s="133"/>
      <c r="J71" s="133">
        <v>2015</v>
      </c>
      <c r="K71" s="130"/>
      <c r="L71" s="130"/>
      <c r="M71" s="130"/>
    </row>
    <row r="72" spans="2:16" s="147" customFormat="1" x14ac:dyDescent="0.2">
      <c r="D72" s="133">
        <v>2016</v>
      </c>
      <c r="E72" s="133"/>
      <c r="F72" s="133"/>
      <c r="G72" s="133"/>
      <c r="H72" s="133"/>
      <c r="I72" s="133"/>
      <c r="J72" s="133">
        <v>2016</v>
      </c>
      <c r="K72" s="130"/>
      <c r="L72" s="130"/>
      <c r="M72" s="130"/>
    </row>
    <row r="73" spans="2:16" s="147" customFormat="1" x14ac:dyDescent="0.2">
      <c r="D73" s="133">
        <v>2017</v>
      </c>
      <c r="E73" s="133"/>
      <c r="F73" s="133"/>
      <c r="G73" s="133"/>
      <c r="H73" s="133"/>
      <c r="I73" s="133"/>
      <c r="J73" s="133">
        <v>2017</v>
      </c>
      <c r="K73" s="130"/>
      <c r="L73" s="130"/>
      <c r="M73" s="130"/>
    </row>
    <row r="74" spans="2:16" s="147" customFormat="1" x14ac:dyDescent="0.2">
      <c r="D74" s="133">
        <v>2018</v>
      </c>
      <c r="E74" s="133"/>
      <c r="F74" s="133"/>
      <c r="G74" s="133"/>
      <c r="H74" s="133"/>
      <c r="I74" s="133"/>
      <c r="J74" s="133">
        <v>2018</v>
      </c>
      <c r="K74" s="130"/>
      <c r="L74" s="130"/>
      <c r="M74" s="130"/>
    </row>
    <row r="75" spans="2:16" s="147" customFormat="1" x14ac:dyDescent="0.2">
      <c r="D75" s="133">
        <v>2019</v>
      </c>
      <c r="E75" s="133"/>
      <c r="F75" s="133"/>
      <c r="G75" s="133"/>
      <c r="H75" s="133"/>
      <c r="I75" s="133"/>
      <c r="J75" s="133">
        <v>2019</v>
      </c>
      <c r="K75" s="130"/>
      <c r="L75" s="130"/>
      <c r="M75" s="130"/>
    </row>
    <row r="76" spans="2:16" s="147" customFormat="1" x14ac:dyDescent="0.2">
      <c r="D76" s="133">
        <v>2020</v>
      </c>
      <c r="E76" s="133"/>
      <c r="F76" s="133"/>
      <c r="G76" s="133"/>
      <c r="H76" s="133"/>
      <c r="I76" s="133"/>
      <c r="J76" s="133">
        <v>2020</v>
      </c>
      <c r="K76" s="130"/>
      <c r="L76" s="130"/>
      <c r="M76" s="130"/>
    </row>
    <row r="77" spans="2:16" s="147" customFormat="1" x14ac:dyDescent="0.2"/>
    <row r="78" spans="2:16" s="147" customFormat="1" x14ac:dyDescent="0.2"/>
    <row r="79" spans="2:16" s="147" customFormat="1" x14ac:dyDescent="0.2"/>
    <row r="80" spans="2:16" s="147" customFormat="1" x14ac:dyDescent="0.2"/>
    <row r="81" s="147" customFormat="1" x14ac:dyDescent="0.2"/>
    <row r="82" s="147" customFormat="1" x14ac:dyDescent="0.2"/>
    <row r="83" s="147" customFormat="1" x14ac:dyDescent="0.2"/>
    <row r="84" s="147" customFormat="1" x14ac:dyDescent="0.2"/>
    <row r="85" s="147" customFormat="1" x14ac:dyDescent="0.2"/>
    <row r="86" s="149" customFormat="1" x14ac:dyDescent="0.2"/>
    <row r="87" s="149" customFormat="1" x14ac:dyDescent="0.2"/>
    <row r="88" s="149" customFormat="1" x14ac:dyDescent="0.2"/>
    <row r="89" s="149" customFormat="1" x14ac:dyDescent="0.2"/>
    <row r="90" s="149" customFormat="1" x14ac:dyDescent="0.2"/>
    <row r="91" s="149" customFormat="1" x14ac:dyDescent="0.2"/>
    <row r="92" s="149" customFormat="1" x14ac:dyDescent="0.2"/>
    <row r="93" s="149" customFormat="1" x14ac:dyDescent="0.2"/>
    <row r="94" s="149" customFormat="1" x14ac:dyDescent="0.2"/>
    <row r="95" s="149" customFormat="1" x14ac:dyDescent="0.2"/>
    <row r="96" s="149" customFormat="1" x14ac:dyDescent="0.2"/>
    <row r="97" s="149" customFormat="1" x14ac:dyDescent="0.2"/>
    <row r="98" s="149" customFormat="1" x14ac:dyDescent="0.2"/>
    <row r="99" s="149" customFormat="1" x14ac:dyDescent="0.2"/>
    <row r="100" s="149" customFormat="1" x14ac:dyDescent="0.2"/>
    <row r="101" s="149" customFormat="1" x14ac:dyDescent="0.2"/>
    <row r="102" s="149" customFormat="1" x14ac:dyDescent="0.2"/>
    <row r="103" s="149" customFormat="1" x14ac:dyDescent="0.2"/>
    <row r="104" s="149" customFormat="1" x14ac:dyDescent="0.2"/>
    <row r="105" s="149" customFormat="1" x14ac:dyDescent="0.2"/>
    <row r="106" s="149" customFormat="1" x14ac:dyDescent="0.2"/>
    <row r="107" s="149" customFormat="1" x14ac:dyDescent="0.2"/>
    <row r="108" s="149" customFormat="1" x14ac:dyDescent="0.2"/>
    <row r="109" s="149" customFormat="1" x14ac:dyDescent="0.2"/>
    <row r="110" s="149" customFormat="1" x14ac:dyDescent="0.2"/>
    <row r="111" s="149" customFormat="1" x14ac:dyDescent="0.2"/>
    <row r="112" s="149" customFormat="1" x14ac:dyDescent="0.2"/>
    <row r="113" s="149" customFormat="1" x14ac:dyDescent="0.2"/>
    <row r="114" s="149" customFormat="1" x14ac:dyDescent="0.2"/>
    <row r="115" s="149" customFormat="1" x14ac:dyDescent="0.2"/>
    <row r="116" s="149" customFormat="1" x14ac:dyDescent="0.2"/>
    <row r="117" s="149" customFormat="1" x14ac:dyDescent="0.2"/>
    <row r="118" s="149" customFormat="1" x14ac:dyDescent="0.2"/>
    <row r="119" s="149" customFormat="1" x14ac:dyDescent="0.2"/>
    <row r="120" s="149" customFormat="1" x14ac:dyDescent="0.2"/>
    <row r="121" s="149" customFormat="1" x14ac:dyDescent="0.2"/>
    <row r="122" s="149" customFormat="1" x14ac:dyDescent="0.2"/>
    <row r="123" s="149" customFormat="1" x14ac:dyDescent="0.2"/>
    <row r="124" s="149" customFormat="1" x14ac:dyDescent="0.2"/>
    <row r="125" s="149" customFormat="1" x14ac:dyDescent="0.2"/>
    <row r="126" s="149" customFormat="1" x14ac:dyDescent="0.2"/>
    <row r="127" s="149" customFormat="1" x14ac:dyDescent="0.2"/>
    <row r="128" s="149" customFormat="1" x14ac:dyDescent="0.2"/>
    <row r="129" s="149" customFormat="1" x14ac:dyDescent="0.2"/>
    <row r="130" s="149" customFormat="1" x14ac:dyDescent="0.2"/>
    <row r="131" s="149" customFormat="1" x14ac:dyDescent="0.2"/>
    <row r="132" s="149" customFormat="1" x14ac:dyDescent="0.2"/>
    <row r="133" s="149" customFormat="1" x14ac:dyDescent="0.2"/>
    <row r="134" s="149" customFormat="1" x14ac:dyDescent="0.2"/>
    <row r="135" s="149" customFormat="1" x14ac:dyDescent="0.2"/>
    <row r="136" s="149" customFormat="1" x14ac:dyDescent="0.2"/>
    <row r="137" s="149" customFormat="1" x14ac:dyDescent="0.2"/>
    <row r="138" s="149" customFormat="1" x14ac:dyDescent="0.2"/>
    <row r="139" s="149" customFormat="1" x14ac:dyDescent="0.2"/>
    <row r="140" s="149" customFormat="1" x14ac:dyDescent="0.2"/>
    <row r="141" s="149" customFormat="1" x14ac:dyDescent="0.2"/>
    <row r="142" s="149" customFormat="1" x14ac:dyDescent="0.2"/>
    <row r="143" s="149" customFormat="1" x14ac:dyDescent="0.2"/>
    <row r="144" s="149" customFormat="1" x14ac:dyDescent="0.2"/>
    <row r="145" s="149" customFormat="1" x14ac:dyDescent="0.2"/>
    <row r="146" s="149" customFormat="1" x14ac:dyDescent="0.2"/>
    <row r="147" s="149" customFormat="1" x14ac:dyDescent="0.2"/>
    <row r="148" s="149" customFormat="1" x14ac:dyDescent="0.2"/>
    <row r="149" s="149" customFormat="1" x14ac:dyDescent="0.2"/>
    <row r="150" s="149" customFormat="1" x14ac:dyDescent="0.2"/>
    <row r="151" s="149" customFormat="1" x14ac:dyDescent="0.2"/>
    <row r="152" s="149" customFormat="1" x14ac:dyDescent="0.2"/>
    <row r="153" s="149" customFormat="1" x14ac:dyDescent="0.2"/>
    <row r="154" s="149" customFormat="1" x14ac:dyDescent="0.2"/>
    <row r="155" s="149" customFormat="1" x14ac:dyDescent="0.2"/>
    <row r="156" s="149" customFormat="1" x14ac:dyDescent="0.2"/>
    <row r="157" s="149" customFormat="1" x14ac:dyDescent="0.2"/>
    <row r="158" s="149" customFormat="1" x14ac:dyDescent="0.2"/>
    <row r="159" s="149" customFormat="1" x14ac:dyDescent="0.2"/>
    <row r="160" s="149" customFormat="1" x14ac:dyDescent="0.2"/>
    <row r="161" s="149" customFormat="1" x14ac:dyDescent="0.2"/>
    <row r="162" s="149" customFormat="1" x14ac:dyDescent="0.2"/>
    <row r="163" s="149" customFormat="1" x14ac:dyDescent="0.2"/>
    <row r="164" s="149" customFormat="1" x14ac:dyDescent="0.2"/>
    <row r="165" s="149" customFormat="1" x14ac:dyDescent="0.2"/>
    <row r="166" s="149" customFormat="1" x14ac:dyDescent="0.2"/>
    <row r="167" s="149" customFormat="1" x14ac:dyDescent="0.2"/>
    <row r="168" s="149" customFormat="1" x14ac:dyDescent="0.2"/>
    <row r="169" s="149" customFormat="1" x14ac:dyDescent="0.2"/>
    <row r="170" s="149" customFormat="1" x14ac:dyDescent="0.2"/>
    <row r="171" s="149" customFormat="1" x14ac:dyDescent="0.2"/>
    <row r="172" s="149" customFormat="1" x14ac:dyDescent="0.2"/>
    <row r="173" s="149" customFormat="1" x14ac:dyDescent="0.2"/>
    <row r="174" s="149" customFormat="1" x14ac:dyDescent="0.2"/>
    <row r="175" s="149" customFormat="1" x14ac:dyDescent="0.2"/>
    <row r="176" s="149" customFormat="1" x14ac:dyDescent="0.2"/>
    <row r="177" s="149" customFormat="1" x14ac:dyDescent="0.2"/>
    <row r="178" s="149" customFormat="1" x14ac:dyDescent="0.2"/>
    <row r="179" s="149" customFormat="1" x14ac:dyDescent="0.2"/>
    <row r="180" s="149" customFormat="1" x14ac:dyDescent="0.2"/>
    <row r="181" s="149" customFormat="1" x14ac:dyDescent="0.2"/>
    <row r="182" s="149" customFormat="1" x14ac:dyDescent="0.2"/>
    <row r="183" s="149" customFormat="1" x14ac:dyDescent="0.2"/>
    <row r="184" s="149" customFormat="1" x14ac:dyDescent="0.2"/>
    <row r="185" s="149" customFormat="1" x14ac:dyDescent="0.2"/>
    <row r="186" s="149" customFormat="1" x14ac:dyDescent="0.2"/>
    <row r="187" s="149" customFormat="1" x14ac:dyDescent="0.2"/>
    <row r="188" s="149" customFormat="1" x14ac:dyDescent="0.2"/>
    <row r="189" s="149" customFormat="1" x14ac:dyDescent="0.2"/>
    <row r="190" s="149" customFormat="1" x14ac:dyDescent="0.2"/>
    <row r="191" s="149" customFormat="1" x14ac:dyDescent="0.2"/>
    <row r="192" s="149" customFormat="1" x14ac:dyDescent="0.2"/>
    <row r="193" s="149" customFormat="1" x14ac:dyDescent="0.2"/>
    <row r="194" s="149" customFormat="1" x14ac:dyDescent="0.2"/>
    <row r="195" s="149" customFormat="1" x14ac:dyDescent="0.2"/>
    <row r="196" s="149" customFormat="1" x14ac:dyDescent="0.2"/>
    <row r="197" s="149" customFormat="1" x14ac:dyDescent="0.2"/>
    <row r="198" s="149" customFormat="1" x14ac:dyDescent="0.2"/>
    <row r="199" s="149" customFormat="1" x14ac:dyDescent="0.2"/>
    <row r="200" s="149" customFormat="1" x14ac:dyDescent="0.2"/>
    <row r="201" s="149" customFormat="1" x14ac:dyDescent="0.2"/>
    <row r="202" s="149" customFormat="1" x14ac:dyDescent="0.2"/>
    <row r="203" s="149" customFormat="1" x14ac:dyDescent="0.2"/>
    <row r="204" s="149" customFormat="1" x14ac:dyDescent="0.2"/>
    <row r="205" s="149" customFormat="1" x14ac:dyDescent="0.2"/>
    <row r="206" s="149" customFormat="1" x14ac:dyDescent="0.2"/>
    <row r="207" s="149" customFormat="1" x14ac:dyDescent="0.2"/>
    <row r="208" s="149" customFormat="1" x14ac:dyDescent="0.2"/>
    <row r="209" spans="1:307" s="149" customFormat="1" x14ac:dyDescent="0.2"/>
    <row r="210" spans="1:307" s="149" customFormat="1" x14ac:dyDescent="0.2"/>
    <row r="211" spans="1:307" s="149" customFormat="1" x14ac:dyDescent="0.2"/>
    <row r="212" spans="1:307" s="149" customFormat="1" x14ac:dyDescent="0.2"/>
    <row r="213" spans="1:307" s="149" customFormat="1" x14ac:dyDescent="0.2"/>
    <row r="214" spans="1:307" s="149" customFormat="1" x14ac:dyDescent="0.2"/>
    <row r="215" spans="1:307" s="149" customFormat="1" x14ac:dyDescent="0.2"/>
    <row r="216" spans="1:307" s="149" customFormat="1" x14ac:dyDescent="0.2"/>
    <row r="217" spans="1:307" s="149" customFormat="1" x14ac:dyDescent="0.2"/>
    <row r="218" spans="1:307" x14ac:dyDescent="0.2">
      <c r="A218" s="172"/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2"/>
      <c r="AZ218" s="172"/>
      <c r="BA218" s="172"/>
      <c r="BB218" s="172"/>
      <c r="BC218" s="172"/>
      <c r="BD218" s="172"/>
      <c r="BE218" s="172"/>
      <c r="BF218" s="172"/>
      <c r="BG218" s="172"/>
      <c r="BH218" s="172"/>
      <c r="BI218" s="172"/>
      <c r="BJ218" s="172"/>
      <c r="BK218" s="172"/>
      <c r="BL218" s="172"/>
      <c r="BM218" s="172"/>
      <c r="BN218" s="172"/>
      <c r="BO218" s="172"/>
      <c r="BP218" s="172"/>
      <c r="BQ218" s="172"/>
      <c r="BR218" s="172"/>
      <c r="BS218" s="172"/>
      <c r="BT218" s="172"/>
      <c r="BU218" s="172"/>
      <c r="BV218" s="172"/>
      <c r="BW218" s="172"/>
      <c r="BX218" s="175"/>
      <c r="BY218" s="175"/>
      <c r="BZ218" s="175"/>
      <c r="CA218" s="175"/>
      <c r="CB218" s="175"/>
      <c r="CC218" s="175"/>
      <c r="CD218" s="175"/>
      <c r="CE218" s="175"/>
      <c r="CF218" s="175"/>
      <c r="CG218" s="175"/>
      <c r="CH218" s="175"/>
      <c r="CI218" s="175"/>
      <c r="CJ218" s="175"/>
      <c r="CK218" s="175"/>
      <c r="CL218" s="175"/>
      <c r="CM218" s="175"/>
      <c r="CN218" s="175"/>
      <c r="CO218" s="175"/>
      <c r="CP218" s="175"/>
      <c r="CQ218" s="175"/>
      <c r="CR218" s="175"/>
      <c r="CS218" s="175"/>
      <c r="CT218" s="175"/>
      <c r="CU218" s="175"/>
      <c r="CV218" s="175"/>
      <c r="CW218" s="175"/>
      <c r="CX218" s="175"/>
      <c r="CY218" s="175"/>
      <c r="CZ218" s="175"/>
      <c r="DA218" s="175"/>
      <c r="DB218" s="175"/>
      <c r="DC218" s="175"/>
      <c r="DD218" s="175"/>
      <c r="DE218" s="175"/>
      <c r="DF218" s="175"/>
      <c r="DG218" s="175"/>
      <c r="DH218" s="175"/>
      <c r="DI218" s="175"/>
      <c r="DJ218" s="175"/>
      <c r="DK218" s="175"/>
      <c r="DL218" s="175"/>
      <c r="DM218" s="175"/>
      <c r="DN218" s="175"/>
      <c r="DO218" s="175"/>
      <c r="DP218" s="175"/>
      <c r="DQ218" s="175"/>
      <c r="DR218" s="175"/>
      <c r="DS218" s="175"/>
      <c r="DT218" s="175"/>
      <c r="DU218" s="175"/>
      <c r="DV218" s="175"/>
      <c r="DW218" s="175"/>
      <c r="DX218" s="175"/>
      <c r="DY218" s="175"/>
      <c r="DZ218" s="175"/>
      <c r="EA218" s="175"/>
      <c r="EB218" s="175"/>
      <c r="EC218" s="175"/>
      <c r="ED218" s="175"/>
      <c r="EE218" s="175"/>
      <c r="EF218" s="175"/>
      <c r="EG218" s="175"/>
      <c r="EH218" s="175"/>
      <c r="EI218" s="175"/>
      <c r="EJ218" s="175"/>
      <c r="EK218" s="175"/>
      <c r="EL218" s="175"/>
      <c r="EM218" s="175"/>
      <c r="EN218" s="175"/>
      <c r="EO218" s="175"/>
      <c r="EP218" s="175"/>
      <c r="EQ218" s="175"/>
      <c r="ER218" s="175"/>
      <c r="ES218" s="175"/>
      <c r="ET218" s="175"/>
      <c r="EU218" s="175"/>
      <c r="EV218" s="175"/>
      <c r="EW218" s="175"/>
      <c r="EX218" s="175"/>
      <c r="EY218" s="175"/>
      <c r="EZ218" s="175"/>
      <c r="FA218" s="175"/>
      <c r="FB218" s="175"/>
      <c r="FC218" s="175"/>
      <c r="FD218" s="175"/>
      <c r="FE218" s="175"/>
      <c r="FF218" s="175"/>
      <c r="FG218" s="175"/>
      <c r="FH218" s="175"/>
      <c r="FI218" s="175"/>
      <c r="FJ218" s="175"/>
      <c r="FK218" s="175"/>
      <c r="FL218" s="175"/>
      <c r="FM218" s="175"/>
      <c r="FN218" s="175"/>
      <c r="FO218" s="175"/>
      <c r="FP218" s="175"/>
      <c r="FQ218" s="175"/>
      <c r="FR218" s="175"/>
      <c r="FS218" s="175"/>
      <c r="FT218" s="175"/>
      <c r="FU218" s="175"/>
      <c r="FV218" s="175"/>
      <c r="FW218" s="175"/>
      <c r="FX218" s="175"/>
      <c r="FY218" s="175"/>
      <c r="FZ218" s="175"/>
      <c r="GA218" s="175"/>
      <c r="GB218" s="175"/>
      <c r="GC218" s="175"/>
      <c r="GD218" s="175"/>
      <c r="GE218" s="175"/>
      <c r="GF218" s="175"/>
      <c r="GG218" s="175"/>
      <c r="GH218" s="175"/>
      <c r="GI218" s="175"/>
      <c r="GJ218" s="175"/>
      <c r="GK218" s="175"/>
      <c r="GL218" s="175"/>
      <c r="GM218" s="175"/>
      <c r="GN218" s="175"/>
      <c r="GO218" s="175"/>
      <c r="GP218" s="175"/>
      <c r="GQ218" s="175"/>
      <c r="GR218" s="175"/>
      <c r="GS218" s="175"/>
      <c r="GT218" s="175"/>
      <c r="GU218" s="175"/>
      <c r="GV218" s="175"/>
      <c r="GW218" s="175"/>
      <c r="GX218" s="175"/>
      <c r="GY218" s="175"/>
      <c r="GZ218" s="175"/>
      <c r="HA218" s="175"/>
      <c r="HB218" s="175"/>
      <c r="HC218" s="175"/>
      <c r="HD218" s="175"/>
      <c r="HE218" s="175"/>
      <c r="HF218" s="175"/>
      <c r="HG218" s="175"/>
      <c r="HH218" s="175"/>
      <c r="HI218" s="175"/>
      <c r="HJ218" s="175"/>
      <c r="HK218" s="175"/>
      <c r="HL218" s="175"/>
      <c r="HM218" s="175"/>
      <c r="HN218" s="175"/>
      <c r="HO218" s="175"/>
      <c r="HP218" s="175"/>
      <c r="HQ218" s="175"/>
      <c r="HR218" s="175"/>
      <c r="HS218" s="175"/>
      <c r="HT218" s="175"/>
      <c r="HU218" s="175"/>
      <c r="HV218" s="175"/>
      <c r="HW218" s="175"/>
      <c r="HX218" s="175"/>
      <c r="HY218" s="175"/>
      <c r="HZ218" s="175"/>
      <c r="IA218" s="175"/>
      <c r="IB218" s="175"/>
      <c r="IC218" s="175"/>
      <c r="ID218" s="175"/>
      <c r="IE218" s="175"/>
      <c r="IF218" s="175"/>
      <c r="IG218" s="175"/>
      <c r="IH218" s="175"/>
      <c r="II218" s="175"/>
      <c r="IJ218" s="175"/>
      <c r="IK218" s="175"/>
      <c r="IL218" s="175"/>
      <c r="IM218" s="175"/>
      <c r="IN218" s="175"/>
      <c r="IO218" s="175"/>
      <c r="IP218" s="175"/>
      <c r="IQ218" s="175"/>
      <c r="IR218" s="175"/>
      <c r="IS218" s="175"/>
      <c r="IT218" s="175"/>
      <c r="IU218" s="175"/>
      <c r="IV218" s="175"/>
      <c r="IW218" s="175"/>
      <c r="IX218" s="175"/>
      <c r="IY218" s="175"/>
      <c r="IZ218" s="175"/>
      <c r="JA218" s="175"/>
      <c r="JB218" s="175"/>
      <c r="JC218" s="175"/>
      <c r="JD218" s="175"/>
      <c r="JE218" s="175"/>
      <c r="JF218" s="175"/>
      <c r="JG218" s="175"/>
      <c r="JH218" s="175"/>
      <c r="JI218" s="175"/>
      <c r="JJ218" s="175"/>
      <c r="JK218" s="175"/>
      <c r="JL218" s="175"/>
      <c r="JM218" s="175"/>
      <c r="JN218" s="175"/>
      <c r="JO218" s="175"/>
      <c r="JP218" s="175"/>
      <c r="JQ218" s="175"/>
      <c r="JR218" s="175"/>
      <c r="JS218" s="175"/>
      <c r="JT218" s="175"/>
      <c r="JU218" s="175"/>
      <c r="JV218" s="175"/>
      <c r="JW218" s="175"/>
      <c r="JX218" s="175"/>
      <c r="JY218" s="175"/>
      <c r="JZ218" s="175"/>
      <c r="KA218" s="175"/>
      <c r="KB218" s="175"/>
      <c r="KC218" s="175"/>
      <c r="KD218" s="175"/>
      <c r="KE218" s="175"/>
      <c r="KF218" s="175"/>
      <c r="KG218" s="175"/>
      <c r="KH218" s="175"/>
      <c r="KI218" s="175"/>
      <c r="KJ218" s="175"/>
      <c r="KK218" s="175"/>
      <c r="KL218" s="175"/>
      <c r="KM218" s="175"/>
      <c r="KN218" s="175"/>
      <c r="KO218" s="175"/>
      <c r="KP218" s="175"/>
      <c r="KQ218" s="175"/>
      <c r="KR218" s="175"/>
      <c r="KS218" s="175"/>
      <c r="KT218" s="175"/>
      <c r="KU218" s="175"/>
    </row>
    <row r="219" spans="1:307" x14ac:dyDescent="0.2">
      <c r="A219" s="172"/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2"/>
      <c r="AG219" s="172"/>
      <c r="AH219" s="172"/>
      <c r="AI219" s="172"/>
      <c r="AJ219" s="172"/>
      <c r="AK219" s="172"/>
      <c r="AL219" s="172"/>
      <c r="AM219" s="172"/>
      <c r="AN219" s="172"/>
      <c r="AO219" s="172"/>
      <c r="AP219" s="172"/>
      <c r="AQ219" s="172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172"/>
      <c r="BD219" s="172"/>
      <c r="BE219" s="172"/>
      <c r="BF219" s="172"/>
      <c r="BG219" s="172"/>
      <c r="BH219" s="172"/>
      <c r="BI219" s="172"/>
      <c r="BJ219" s="172"/>
      <c r="BK219" s="172"/>
      <c r="BL219" s="172"/>
      <c r="BM219" s="172"/>
      <c r="BN219" s="172"/>
      <c r="BO219" s="172"/>
      <c r="BP219" s="172"/>
      <c r="BQ219" s="172"/>
      <c r="BR219" s="172"/>
      <c r="BS219" s="172"/>
      <c r="BT219" s="172"/>
      <c r="BU219" s="172"/>
      <c r="BV219" s="172"/>
      <c r="BW219" s="172"/>
      <c r="BX219" s="175"/>
      <c r="BY219" s="175"/>
      <c r="BZ219" s="175"/>
      <c r="CA219" s="175"/>
      <c r="CB219" s="175"/>
      <c r="CC219" s="175"/>
      <c r="CD219" s="175"/>
      <c r="CE219" s="175"/>
      <c r="CF219" s="175"/>
      <c r="CG219" s="175"/>
      <c r="CH219" s="175"/>
      <c r="CI219" s="175"/>
      <c r="CJ219" s="175"/>
      <c r="CK219" s="175"/>
      <c r="CL219" s="175"/>
      <c r="CM219" s="175"/>
      <c r="CN219" s="175"/>
      <c r="CO219" s="175"/>
      <c r="CP219" s="175"/>
      <c r="CQ219" s="175"/>
      <c r="CR219" s="175"/>
      <c r="CS219" s="175"/>
      <c r="CT219" s="175"/>
      <c r="CU219" s="175"/>
      <c r="CV219" s="175"/>
      <c r="CW219" s="175"/>
      <c r="CX219" s="175"/>
      <c r="CY219" s="175"/>
      <c r="CZ219" s="175"/>
      <c r="DA219" s="175"/>
      <c r="DB219" s="175"/>
      <c r="DC219" s="175"/>
      <c r="DD219" s="175"/>
      <c r="DE219" s="175"/>
      <c r="DF219" s="175"/>
      <c r="DG219" s="175"/>
      <c r="DH219" s="175"/>
      <c r="DI219" s="175"/>
      <c r="DJ219" s="175"/>
      <c r="DK219" s="175"/>
      <c r="DL219" s="175"/>
      <c r="DM219" s="175"/>
      <c r="DN219" s="175"/>
      <c r="DO219" s="175"/>
      <c r="DP219" s="175"/>
      <c r="DQ219" s="175"/>
      <c r="DR219" s="175"/>
      <c r="DS219" s="175"/>
      <c r="DT219" s="175"/>
      <c r="DU219" s="175"/>
      <c r="DV219" s="175"/>
      <c r="DW219" s="175"/>
      <c r="DX219" s="175"/>
      <c r="DY219" s="175"/>
      <c r="DZ219" s="175"/>
      <c r="EA219" s="175"/>
      <c r="EB219" s="175"/>
      <c r="EC219" s="175"/>
      <c r="ED219" s="175"/>
      <c r="EE219" s="175"/>
      <c r="EF219" s="175"/>
      <c r="EG219" s="175"/>
      <c r="EH219" s="175"/>
      <c r="EI219" s="175"/>
      <c r="EJ219" s="175"/>
      <c r="EK219" s="175"/>
      <c r="EL219" s="175"/>
      <c r="EM219" s="175"/>
      <c r="EN219" s="175"/>
      <c r="EO219" s="175"/>
      <c r="EP219" s="175"/>
      <c r="EQ219" s="175"/>
      <c r="ER219" s="175"/>
      <c r="ES219" s="175"/>
      <c r="ET219" s="175"/>
      <c r="EU219" s="175"/>
      <c r="EV219" s="175"/>
      <c r="EW219" s="175"/>
      <c r="EX219" s="175"/>
      <c r="EY219" s="175"/>
      <c r="EZ219" s="175"/>
      <c r="FA219" s="175"/>
      <c r="FB219" s="175"/>
      <c r="FC219" s="175"/>
      <c r="FD219" s="175"/>
      <c r="FE219" s="175"/>
      <c r="FF219" s="175"/>
      <c r="FG219" s="175"/>
      <c r="FH219" s="175"/>
      <c r="FI219" s="175"/>
      <c r="FJ219" s="175"/>
      <c r="FK219" s="175"/>
      <c r="FL219" s="175"/>
      <c r="FM219" s="175"/>
      <c r="FN219" s="175"/>
      <c r="FO219" s="175"/>
      <c r="FP219" s="175"/>
      <c r="FQ219" s="175"/>
      <c r="FR219" s="175"/>
      <c r="FS219" s="175"/>
      <c r="FT219" s="175"/>
      <c r="FU219" s="175"/>
      <c r="FV219" s="175"/>
      <c r="FW219" s="175"/>
      <c r="FX219" s="175"/>
      <c r="FY219" s="175"/>
      <c r="FZ219" s="175"/>
      <c r="GA219" s="175"/>
      <c r="GB219" s="175"/>
      <c r="GC219" s="175"/>
      <c r="GD219" s="175"/>
      <c r="GE219" s="175"/>
      <c r="GF219" s="175"/>
      <c r="GG219" s="175"/>
      <c r="GH219" s="175"/>
      <c r="GI219" s="175"/>
      <c r="GJ219" s="175"/>
      <c r="GK219" s="175"/>
      <c r="GL219" s="175"/>
      <c r="GM219" s="175"/>
      <c r="GN219" s="175"/>
      <c r="GO219" s="175"/>
      <c r="GP219" s="175"/>
      <c r="GQ219" s="175"/>
      <c r="GR219" s="175"/>
      <c r="GS219" s="175"/>
      <c r="GT219" s="175"/>
      <c r="GU219" s="175"/>
      <c r="GV219" s="175"/>
      <c r="GW219" s="175"/>
      <c r="GX219" s="175"/>
      <c r="GY219" s="175"/>
      <c r="GZ219" s="175"/>
      <c r="HA219" s="175"/>
      <c r="HB219" s="175"/>
      <c r="HC219" s="175"/>
      <c r="HD219" s="175"/>
      <c r="HE219" s="175"/>
      <c r="HF219" s="175"/>
      <c r="HG219" s="175"/>
      <c r="HH219" s="175"/>
      <c r="HI219" s="175"/>
      <c r="HJ219" s="175"/>
      <c r="HK219" s="175"/>
      <c r="HL219" s="175"/>
      <c r="HM219" s="175"/>
      <c r="HN219" s="175"/>
      <c r="HO219" s="175"/>
      <c r="HP219" s="175"/>
      <c r="HQ219" s="175"/>
      <c r="HR219" s="175"/>
      <c r="HS219" s="175"/>
      <c r="HT219" s="175"/>
      <c r="HU219" s="175"/>
      <c r="HV219" s="175"/>
      <c r="HW219" s="175"/>
      <c r="HX219" s="175"/>
      <c r="HY219" s="175"/>
      <c r="HZ219" s="175"/>
      <c r="IA219" s="175"/>
      <c r="IB219" s="175"/>
      <c r="IC219" s="175"/>
      <c r="ID219" s="175"/>
      <c r="IE219" s="175"/>
      <c r="IF219" s="175"/>
      <c r="IG219" s="175"/>
      <c r="IH219" s="175"/>
      <c r="II219" s="175"/>
      <c r="IJ219" s="175"/>
      <c r="IK219" s="175"/>
      <c r="IL219" s="175"/>
      <c r="IM219" s="175"/>
      <c r="IN219" s="175"/>
      <c r="IO219" s="175"/>
      <c r="IP219" s="175"/>
      <c r="IQ219" s="175"/>
      <c r="IR219" s="175"/>
      <c r="IS219" s="175"/>
      <c r="IT219" s="175"/>
      <c r="IU219" s="175"/>
      <c r="IV219" s="175"/>
      <c r="IW219" s="175"/>
      <c r="IX219" s="175"/>
      <c r="IY219" s="175"/>
      <c r="IZ219" s="175"/>
      <c r="JA219" s="175"/>
      <c r="JB219" s="175"/>
      <c r="JC219" s="175"/>
      <c r="JD219" s="175"/>
      <c r="JE219" s="175"/>
      <c r="JF219" s="175"/>
      <c r="JG219" s="175"/>
      <c r="JH219" s="175"/>
      <c r="JI219" s="175"/>
      <c r="JJ219" s="175"/>
      <c r="JK219" s="175"/>
      <c r="JL219" s="175"/>
      <c r="JM219" s="175"/>
      <c r="JN219" s="175"/>
      <c r="JO219" s="175"/>
      <c r="JP219" s="175"/>
      <c r="JQ219" s="175"/>
      <c r="JR219" s="175"/>
      <c r="JS219" s="175"/>
      <c r="JT219" s="175"/>
      <c r="JU219" s="175"/>
      <c r="JV219" s="175"/>
      <c r="JW219" s="175"/>
      <c r="JX219" s="175"/>
      <c r="JY219" s="175"/>
      <c r="JZ219" s="175"/>
      <c r="KA219" s="175"/>
      <c r="KB219" s="175"/>
      <c r="KC219" s="175"/>
      <c r="KD219" s="175"/>
      <c r="KE219" s="175"/>
      <c r="KF219" s="175"/>
      <c r="KG219" s="175"/>
      <c r="KH219" s="175"/>
      <c r="KI219" s="175"/>
      <c r="KJ219" s="175"/>
      <c r="KK219" s="175"/>
      <c r="KL219" s="175"/>
      <c r="KM219" s="175"/>
      <c r="KN219" s="175"/>
      <c r="KO219" s="175"/>
      <c r="KP219" s="175"/>
      <c r="KQ219" s="175"/>
      <c r="KR219" s="175"/>
      <c r="KS219" s="175"/>
      <c r="KT219" s="175"/>
      <c r="KU219" s="175"/>
    </row>
    <row r="220" spans="1:307" x14ac:dyDescent="0.2">
      <c r="A220" s="172"/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  <c r="AI220" s="172"/>
      <c r="AJ220" s="172"/>
      <c r="AK220" s="172"/>
      <c r="AL220" s="172"/>
      <c r="AM220" s="172"/>
      <c r="AN220" s="172"/>
      <c r="AO220" s="172"/>
      <c r="AP220" s="172"/>
      <c r="AQ220" s="172"/>
      <c r="AR220" s="172"/>
      <c r="AS220" s="172"/>
      <c r="AT220" s="172"/>
      <c r="AU220" s="172"/>
      <c r="AV220" s="172"/>
      <c r="AW220" s="172"/>
      <c r="AX220" s="172"/>
      <c r="AY220" s="172"/>
      <c r="AZ220" s="172"/>
      <c r="BA220" s="172"/>
      <c r="BB220" s="172"/>
      <c r="BC220" s="172"/>
      <c r="BD220" s="172"/>
      <c r="BE220" s="172"/>
      <c r="BF220" s="172"/>
      <c r="BG220" s="172"/>
      <c r="BH220" s="172"/>
      <c r="BI220" s="172"/>
      <c r="BJ220" s="172"/>
      <c r="BK220" s="172"/>
      <c r="BL220" s="172"/>
      <c r="BM220" s="172"/>
      <c r="BN220" s="172"/>
      <c r="BO220" s="172"/>
      <c r="BP220" s="172"/>
      <c r="BQ220" s="172"/>
      <c r="BR220" s="172"/>
      <c r="BS220" s="172"/>
      <c r="BT220" s="172"/>
      <c r="BU220" s="172"/>
      <c r="BV220" s="172"/>
      <c r="BW220" s="172"/>
      <c r="BX220" s="175"/>
      <c r="BY220" s="175"/>
      <c r="BZ220" s="175"/>
      <c r="CA220" s="175"/>
      <c r="CB220" s="175"/>
      <c r="CC220" s="175"/>
      <c r="CD220" s="175"/>
      <c r="CE220" s="175"/>
      <c r="CF220" s="175"/>
      <c r="CG220" s="175"/>
      <c r="CH220" s="175"/>
      <c r="CI220" s="175"/>
      <c r="CJ220" s="175"/>
      <c r="CK220" s="175"/>
      <c r="CL220" s="175"/>
      <c r="CM220" s="175"/>
      <c r="CN220" s="175"/>
      <c r="CO220" s="175"/>
      <c r="CP220" s="175"/>
      <c r="CQ220" s="175"/>
      <c r="CR220" s="175"/>
      <c r="CS220" s="175"/>
      <c r="CT220" s="175"/>
      <c r="CU220" s="175"/>
      <c r="CV220" s="175"/>
      <c r="CW220" s="175"/>
      <c r="CX220" s="175"/>
      <c r="CY220" s="175"/>
      <c r="CZ220" s="175"/>
      <c r="DA220" s="175"/>
      <c r="DB220" s="175"/>
      <c r="DC220" s="175"/>
      <c r="DD220" s="175"/>
      <c r="DE220" s="175"/>
      <c r="DF220" s="175"/>
      <c r="DG220" s="175"/>
      <c r="DH220" s="175"/>
      <c r="DI220" s="175"/>
      <c r="DJ220" s="175"/>
      <c r="DK220" s="175"/>
      <c r="DL220" s="175"/>
      <c r="DM220" s="175"/>
      <c r="DN220" s="175"/>
      <c r="DO220" s="175"/>
      <c r="DP220" s="175"/>
      <c r="DQ220" s="175"/>
      <c r="DR220" s="175"/>
      <c r="DS220" s="175"/>
      <c r="DT220" s="175"/>
      <c r="DU220" s="175"/>
      <c r="DV220" s="175"/>
      <c r="DW220" s="175"/>
      <c r="DX220" s="175"/>
      <c r="DY220" s="175"/>
      <c r="DZ220" s="175"/>
      <c r="EA220" s="175"/>
      <c r="EB220" s="175"/>
      <c r="EC220" s="175"/>
      <c r="ED220" s="175"/>
      <c r="EE220" s="175"/>
      <c r="EF220" s="175"/>
      <c r="EG220" s="175"/>
      <c r="EH220" s="175"/>
      <c r="EI220" s="175"/>
      <c r="EJ220" s="175"/>
      <c r="EK220" s="175"/>
      <c r="EL220" s="175"/>
      <c r="EM220" s="175"/>
      <c r="EN220" s="175"/>
      <c r="EO220" s="175"/>
      <c r="EP220" s="175"/>
      <c r="EQ220" s="175"/>
      <c r="ER220" s="175"/>
      <c r="ES220" s="175"/>
      <c r="ET220" s="175"/>
      <c r="EU220" s="175"/>
      <c r="EV220" s="175"/>
      <c r="EW220" s="175"/>
      <c r="EX220" s="175"/>
      <c r="EY220" s="175"/>
      <c r="EZ220" s="175"/>
      <c r="FA220" s="175"/>
      <c r="FB220" s="175"/>
      <c r="FC220" s="175"/>
      <c r="FD220" s="175"/>
      <c r="FE220" s="175"/>
      <c r="FF220" s="175"/>
      <c r="FG220" s="175"/>
      <c r="FH220" s="175"/>
      <c r="FI220" s="175"/>
      <c r="FJ220" s="175"/>
      <c r="FK220" s="175"/>
      <c r="FL220" s="175"/>
      <c r="FM220" s="175"/>
      <c r="FN220" s="175"/>
      <c r="FO220" s="175"/>
      <c r="FP220" s="175"/>
      <c r="FQ220" s="175"/>
      <c r="FR220" s="175"/>
      <c r="FS220" s="175"/>
      <c r="FT220" s="175"/>
      <c r="FU220" s="175"/>
      <c r="FV220" s="175"/>
      <c r="FW220" s="175"/>
      <c r="FX220" s="175"/>
      <c r="FY220" s="175"/>
      <c r="FZ220" s="175"/>
      <c r="GA220" s="175"/>
      <c r="GB220" s="175"/>
      <c r="GC220" s="175"/>
      <c r="GD220" s="175"/>
      <c r="GE220" s="175"/>
      <c r="GF220" s="175"/>
      <c r="GG220" s="175"/>
      <c r="GH220" s="175"/>
      <c r="GI220" s="175"/>
      <c r="GJ220" s="175"/>
      <c r="GK220" s="175"/>
      <c r="GL220" s="175"/>
      <c r="GM220" s="175"/>
      <c r="GN220" s="175"/>
      <c r="GO220" s="175"/>
      <c r="GP220" s="175"/>
      <c r="GQ220" s="175"/>
      <c r="GR220" s="175"/>
      <c r="GS220" s="175"/>
      <c r="GT220" s="175"/>
      <c r="GU220" s="175"/>
      <c r="GV220" s="175"/>
      <c r="GW220" s="175"/>
      <c r="GX220" s="175"/>
      <c r="GY220" s="175"/>
      <c r="GZ220" s="175"/>
      <c r="HA220" s="175"/>
      <c r="HB220" s="175"/>
      <c r="HC220" s="175"/>
      <c r="HD220" s="175"/>
      <c r="HE220" s="175"/>
      <c r="HF220" s="175"/>
      <c r="HG220" s="175"/>
      <c r="HH220" s="175"/>
      <c r="HI220" s="175"/>
      <c r="HJ220" s="175"/>
      <c r="HK220" s="175"/>
      <c r="HL220" s="175"/>
      <c r="HM220" s="175"/>
      <c r="HN220" s="175"/>
      <c r="HO220" s="175"/>
      <c r="HP220" s="175"/>
      <c r="HQ220" s="175"/>
      <c r="HR220" s="175"/>
      <c r="HS220" s="175"/>
      <c r="HT220" s="175"/>
      <c r="HU220" s="175"/>
      <c r="HV220" s="175"/>
      <c r="HW220" s="175"/>
      <c r="HX220" s="175"/>
      <c r="HY220" s="175"/>
      <c r="HZ220" s="175"/>
      <c r="IA220" s="175"/>
      <c r="IB220" s="175"/>
      <c r="IC220" s="175"/>
      <c r="ID220" s="175"/>
      <c r="IE220" s="175"/>
      <c r="IF220" s="175"/>
      <c r="IG220" s="175"/>
      <c r="IH220" s="175"/>
      <c r="II220" s="175"/>
      <c r="IJ220" s="175"/>
      <c r="IK220" s="175"/>
      <c r="IL220" s="175"/>
      <c r="IM220" s="175"/>
      <c r="IN220" s="175"/>
      <c r="IO220" s="175"/>
      <c r="IP220" s="175"/>
      <c r="IQ220" s="175"/>
      <c r="IR220" s="175"/>
      <c r="IS220" s="175"/>
      <c r="IT220" s="175"/>
      <c r="IU220" s="175"/>
      <c r="IV220" s="175"/>
      <c r="IW220" s="175"/>
      <c r="IX220" s="175"/>
      <c r="IY220" s="175"/>
      <c r="IZ220" s="175"/>
      <c r="JA220" s="175"/>
      <c r="JB220" s="175"/>
      <c r="JC220" s="175"/>
      <c r="JD220" s="175"/>
      <c r="JE220" s="175"/>
      <c r="JF220" s="175"/>
      <c r="JG220" s="175"/>
      <c r="JH220" s="175"/>
      <c r="JI220" s="175"/>
      <c r="JJ220" s="175"/>
      <c r="JK220" s="175"/>
      <c r="JL220" s="175"/>
      <c r="JM220" s="175"/>
      <c r="JN220" s="175"/>
      <c r="JO220" s="175"/>
      <c r="JP220" s="175"/>
      <c r="JQ220" s="175"/>
      <c r="JR220" s="175"/>
      <c r="JS220" s="175"/>
      <c r="JT220" s="175"/>
      <c r="JU220" s="175"/>
      <c r="JV220" s="175"/>
      <c r="JW220" s="175"/>
      <c r="JX220" s="175"/>
      <c r="JY220" s="175"/>
      <c r="JZ220" s="175"/>
      <c r="KA220" s="175"/>
      <c r="KB220" s="175"/>
      <c r="KC220" s="175"/>
      <c r="KD220" s="175"/>
      <c r="KE220" s="175"/>
      <c r="KF220" s="175"/>
      <c r="KG220" s="175"/>
      <c r="KH220" s="175"/>
      <c r="KI220" s="175"/>
      <c r="KJ220" s="175"/>
      <c r="KK220" s="175"/>
      <c r="KL220" s="175"/>
      <c r="KM220" s="175"/>
      <c r="KN220" s="175"/>
      <c r="KO220" s="175"/>
      <c r="KP220" s="175"/>
      <c r="KQ220" s="175"/>
      <c r="KR220" s="175"/>
      <c r="KS220" s="175"/>
      <c r="KT220" s="175"/>
      <c r="KU220" s="175"/>
    </row>
    <row r="221" spans="1:307" x14ac:dyDescent="0.2">
      <c r="A221" s="172"/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  <c r="AJ221" s="172"/>
      <c r="AK221" s="172"/>
      <c r="AL221" s="172"/>
      <c r="AM221" s="172"/>
      <c r="AN221" s="172"/>
      <c r="AO221" s="172"/>
      <c r="AP221" s="172"/>
      <c r="AQ221" s="172"/>
      <c r="AR221" s="172"/>
      <c r="AS221" s="172"/>
      <c r="AT221" s="172"/>
      <c r="AU221" s="172"/>
      <c r="AV221" s="172"/>
      <c r="AW221" s="172"/>
      <c r="AX221" s="172"/>
      <c r="AY221" s="172"/>
      <c r="AZ221" s="172"/>
      <c r="BA221" s="172"/>
      <c r="BB221" s="172"/>
      <c r="BC221" s="172"/>
      <c r="BD221" s="172"/>
      <c r="BE221" s="172"/>
      <c r="BF221" s="172"/>
      <c r="BG221" s="172"/>
      <c r="BH221" s="172"/>
      <c r="BI221" s="172"/>
      <c r="BJ221" s="172"/>
      <c r="BK221" s="172"/>
      <c r="BL221" s="172"/>
      <c r="BM221" s="172"/>
      <c r="BN221" s="172"/>
      <c r="BO221" s="172"/>
      <c r="BP221" s="172"/>
      <c r="BQ221" s="172"/>
      <c r="BR221" s="172"/>
      <c r="BS221" s="172"/>
      <c r="BT221" s="172"/>
      <c r="BU221" s="172"/>
      <c r="BV221" s="172"/>
      <c r="BW221" s="172"/>
      <c r="BX221" s="175"/>
      <c r="BY221" s="175"/>
      <c r="BZ221" s="175"/>
      <c r="CA221" s="175"/>
      <c r="CB221" s="175"/>
      <c r="CC221" s="175"/>
      <c r="CD221" s="175"/>
      <c r="CE221" s="175"/>
      <c r="CF221" s="175"/>
      <c r="CG221" s="175"/>
      <c r="CH221" s="175"/>
      <c r="CI221" s="175"/>
      <c r="CJ221" s="175"/>
      <c r="CK221" s="175"/>
      <c r="CL221" s="175"/>
      <c r="CM221" s="175"/>
      <c r="CN221" s="175"/>
      <c r="CO221" s="175"/>
      <c r="CP221" s="175"/>
      <c r="CQ221" s="175"/>
      <c r="CR221" s="175"/>
      <c r="CS221" s="175"/>
      <c r="CT221" s="175"/>
      <c r="CU221" s="175"/>
      <c r="CV221" s="175"/>
      <c r="CW221" s="175"/>
      <c r="CX221" s="175"/>
      <c r="CY221" s="175"/>
      <c r="CZ221" s="175"/>
      <c r="DA221" s="175"/>
      <c r="DB221" s="175"/>
      <c r="DC221" s="175"/>
      <c r="DD221" s="175"/>
      <c r="DE221" s="175"/>
      <c r="DF221" s="175"/>
      <c r="DG221" s="175"/>
      <c r="DH221" s="175"/>
      <c r="DI221" s="175"/>
      <c r="DJ221" s="175"/>
      <c r="DK221" s="175"/>
      <c r="DL221" s="175"/>
      <c r="DM221" s="175"/>
      <c r="DN221" s="175"/>
      <c r="DO221" s="175"/>
      <c r="DP221" s="175"/>
      <c r="DQ221" s="175"/>
      <c r="DR221" s="175"/>
      <c r="DS221" s="175"/>
      <c r="DT221" s="175"/>
      <c r="DU221" s="175"/>
      <c r="DV221" s="175"/>
      <c r="DW221" s="175"/>
      <c r="DX221" s="175"/>
      <c r="DY221" s="175"/>
      <c r="DZ221" s="175"/>
      <c r="EA221" s="175"/>
      <c r="EB221" s="175"/>
      <c r="EC221" s="175"/>
      <c r="ED221" s="175"/>
      <c r="EE221" s="175"/>
      <c r="EF221" s="175"/>
      <c r="EG221" s="175"/>
      <c r="EH221" s="175"/>
      <c r="EI221" s="175"/>
      <c r="EJ221" s="175"/>
      <c r="EK221" s="175"/>
      <c r="EL221" s="175"/>
      <c r="EM221" s="175"/>
      <c r="EN221" s="175"/>
      <c r="EO221" s="175"/>
      <c r="EP221" s="175"/>
      <c r="EQ221" s="175"/>
      <c r="ER221" s="175"/>
      <c r="ES221" s="175"/>
      <c r="ET221" s="175"/>
      <c r="EU221" s="175"/>
      <c r="EV221" s="175"/>
      <c r="EW221" s="175"/>
      <c r="EX221" s="175"/>
      <c r="EY221" s="175"/>
      <c r="EZ221" s="175"/>
      <c r="FA221" s="175"/>
      <c r="FB221" s="175"/>
      <c r="FC221" s="175"/>
      <c r="FD221" s="175"/>
      <c r="FE221" s="175"/>
      <c r="FF221" s="175"/>
      <c r="FG221" s="175"/>
      <c r="FH221" s="175"/>
      <c r="FI221" s="175"/>
      <c r="FJ221" s="175"/>
      <c r="FK221" s="175"/>
      <c r="FL221" s="175"/>
      <c r="FM221" s="175"/>
      <c r="FN221" s="175"/>
      <c r="FO221" s="175"/>
      <c r="FP221" s="175"/>
      <c r="FQ221" s="175"/>
      <c r="FR221" s="175"/>
      <c r="FS221" s="175"/>
      <c r="FT221" s="175"/>
      <c r="FU221" s="175"/>
      <c r="FV221" s="175"/>
      <c r="FW221" s="175"/>
      <c r="FX221" s="175"/>
      <c r="FY221" s="175"/>
      <c r="FZ221" s="175"/>
      <c r="GA221" s="175"/>
      <c r="GB221" s="175"/>
      <c r="GC221" s="175"/>
      <c r="GD221" s="175"/>
      <c r="GE221" s="175"/>
      <c r="GF221" s="175"/>
      <c r="GG221" s="175"/>
      <c r="GH221" s="175"/>
      <c r="GI221" s="175"/>
      <c r="GJ221" s="175"/>
      <c r="GK221" s="175"/>
      <c r="GL221" s="175"/>
      <c r="GM221" s="175"/>
      <c r="GN221" s="175"/>
      <c r="GO221" s="175"/>
      <c r="GP221" s="175"/>
      <c r="GQ221" s="175"/>
      <c r="GR221" s="175"/>
      <c r="GS221" s="175"/>
      <c r="GT221" s="175"/>
      <c r="GU221" s="175"/>
      <c r="GV221" s="175"/>
      <c r="GW221" s="175"/>
      <c r="GX221" s="175"/>
      <c r="GY221" s="175"/>
      <c r="GZ221" s="175"/>
      <c r="HA221" s="175"/>
      <c r="HB221" s="175"/>
      <c r="HC221" s="175"/>
      <c r="HD221" s="175"/>
      <c r="HE221" s="175"/>
      <c r="HF221" s="175"/>
      <c r="HG221" s="175"/>
      <c r="HH221" s="175"/>
      <c r="HI221" s="175"/>
      <c r="HJ221" s="175"/>
      <c r="HK221" s="175"/>
      <c r="HL221" s="175"/>
      <c r="HM221" s="175"/>
      <c r="HN221" s="175"/>
      <c r="HO221" s="175"/>
      <c r="HP221" s="175"/>
      <c r="HQ221" s="175"/>
      <c r="HR221" s="175"/>
      <c r="HS221" s="175"/>
      <c r="HT221" s="175"/>
      <c r="HU221" s="175"/>
      <c r="HV221" s="175"/>
      <c r="HW221" s="175"/>
      <c r="HX221" s="175"/>
      <c r="HY221" s="175"/>
      <c r="HZ221" s="175"/>
      <c r="IA221" s="175"/>
      <c r="IB221" s="175"/>
      <c r="IC221" s="175"/>
      <c r="ID221" s="175"/>
      <c r="IE221" s="175"/>
      <c r="IF221" s="175"/>
      <c r="IG221" s="175"/>
      <c r="IH221" s="175"/>
      <c r="II221" s="175"/>
      <c r="IJ221" s="175"/>
      <c r="IK221" s="175"/>
      <c r="IL221" s="175"/>
      <c r="IM221" s="175"/>
      <c r="IN221" s="175"/>
      <c r="IO221" s="175"/>
      <c r="IP221" s="175"/>
      <c r="IQ221" s="175"/>
      <c r="IR221" s="175"/>
      <c r="IS221" s="175"/>
      <c r="IT221" s="175"/>
      <c r="IU221" s="175"/>
      <c r="IV221" s="175"/>
      <c r="IW221" s="175"/>
      <c r="IX221" s="175"/>
      <c r="IY221" s="175"/>
      <c r="IZ221" s="175"/>
      <c r="JA221" s="175"/>
      <c r="JB221" s="175"/>
      <c r="JC221" s="175"/>
      <c r="JD221" s="175"/>
      <c r="JE221" s="175"/>
      <c r="JF221" s="175"/>
      <c r="JG221" s="175"/>
      <c r="JH221" s="175"/>
      <c r="JI221" s="175"/>
      <c r="JJ221" s="175"/>
      <c r="JK221" s="175"/>
      <c r="JL221" s="175"/>
      <c r="JM221" s="175"/>
      <c r="JN221" s="175"/>
      <c r="JO221" s="175"/>
      <c r="JP221" s="175"/>
      <c r="JQ221" s="175"/>
      <c r="JR221" s="175"/>
      <c r="JS221" s="175"/>
      <c r="JT221" s="175"/>
      <c r="JU221" s="175"/>
      <c r="JV221" s="175"/>
      <c r="JW221" s="175"/>
      <c r="JX221" s="175"/>
      <c r="JY221" s="175"/>
      <c r="JZ221" s="175"/>
      <c r="KA221" s="175"/>
      <c r="KB221" s="175"/>
      <c r="KC221" s="175"/>
      <c r="KD221" s="175"/>
      <c r="KE221" s="175"/>
      <c r="KF221" s="175"/>
      <c r="KG221" s="175"/>
      <c r="KH221" s="175"/>
      <c r="KI221" s="175"/>
      <c r="KJ221" s="175"/>
      <c r="KK221" s="175"/>
      <c r="KL221" s="175"/>
      <c r="KM221" s="175"/>
      <c r="KN221" s="175"/>
      <c r="KO221" s="175"/>
      <c r="KP221" s="175"/>
      <c r="KQ221" s="175"/>
      <c r="KR221" s="175"/>
      <c r="KS221" s="175"/>
      <c r="KT221" s="175"/>
      <c r="KU221" s="175"/>
    </row>
    <row r="222" spans="1:307" x14ac:dyDescent="0.2">
      <c r="A222" s="172"/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2"/>
      <c r="BR222" s="172"/>
      <c r="BS222" s="172"/>
      <c r="BT222" s="172"/>
      <c r="BU222" s="172"/>
      <c r="BV222" s="172"/>
      <c r="BW222" s="172"/>
      <c r="BX222" s="175"/>
      <c r="BY222" s="175"/>
      <c r="BZ222" s="175"/>
      <c r="CA222" s="175"/>
      <c r="CB222" s="175"/>
      <c r="CC222" s="175"/>
      <c r="CD222" s="175"/>
      <c r="CE222" s="175"/>
      <c r="CF222" s="175"/>
      <c r="CG222" s="175"/>
      <c r="CH222" s="175"/>
      <c r="CI222" s="175"/>
      <c r="CJ222" s="175"/>
      <c r="CK222" s="175"/>
      <c r="CL222" s="175"/>
      <c r="CM222" s="175"/>
      <c r="CN222" s="175"/>
      <c r="CO222" s="175"/>
      <c r="CP222" s="175"/>
      <c r="CQ222" s="175"/>
      <c r="CR222" s="175"/>
      <c r="CS222" s="175"/>
      <c r="CT222" s="175"/>
      <c r="CU222" s="175"/>
      <c r="CV222" s="175"/>
      <c r="CW222" s="175"/>
      <c r="CX222" s="175"/>
      <c r="CY222" s="175"/>
      <c r="CZ222" s="175"/>
      <c r="DA222" s="175"/>
      <c r="DB222" s="175"/>
      <c r="DC222" s="175"/>
      <c r="DD222" s="175"/>
      <c r="DE222" s="175"/>
      <c r="DF222" s="175"/>
      <c r="DG222" s="175"/>
      <c r="DH222" s="175"/>
      <c r="DI222" s="175"/>
      <c r="DJ222" s="175"/>
      <c r="DK222" s="175"/>
      <c r="DL222" s="175"/>
      <c r="DM222" s="175"/>
      <c r="DN222" s="175"/>
      <c r="DO222" s="175"/>
      <c r="DP222" s="175"/>
      <c r="DQ222" s="175"/>
      <c r="DR222" s="175"/>
      <c r="DS222" s="175"/>
      <c r="DT222" s="175"/>
      <c r="DU222" s="175"/>
      <c r="DV222" s="175"/>
      <c r="DW222" s="175"/>
      <c r="DX222" s="175"/>
      <c r="DY222" s="175"/>
      <c r="DZ222" s="175"/>
      <c r="EA222" s="175"/>
      <c r="EB222" s="175"/>
      <c r="EC222" s="175"/>
      <c r="ED222" s="175"/>
      <c r="EE222" s="175"/>
      <c r="EF222" s="175"/>
      <c r="EG222" s="175"/>
      <c r="EH222" s="175"/>
      <c r="EI222" s="175"/>
      <c r="EJ222" s="175"/>
      <c r="EK222" s="175"/>
      <c r="EL222" s="175"/>
      <c r="EM222" s="175"/>
      <c r="EN222" s="175"/>
      <c r="EO222" s="175"/>
      <c r="EP222" s="175"/>
      <c r="EQ222" s="175"/>
      <c r="ER222" s="175"/>
      <c r="ES222" s="175"/>
      <c r="ET222" s="175"/>
      <c r="EU222" s="175"/>
      <c r="EV222" s="175"/>
      <c r="EW222" s="175"/>
      <c r="EX222" s="175"/>
      <c r="EY222" s="175"/>
      <c r="EZ222" s="175"/>
      <c r="FA222" s="175"/>
      <c r="FB222" s="175"/>
      <c r="FC222" s="175"/>
      <c r="FD222" s="175"/>
      <c r="FE222" s="175"/>
      <c r="FF222" s="175"/>
      <c r="FG222" s="175"/>
      <c r="FH222" s="175"/>
      <c r="FI222" s="175"/>
      <c r="FJ222" s="175"/>
      <c r="FK222" s="175"/>
      <c r="FL222" s="175"/>
      <c r="FM222" s="175"/>
      <c r="FN222" s="175"/>
      <c r="FO222" s="175"/>
      <c r="FP222" s="175"/>
      <c r="FQ222" s="175"/>
      <c r="FR222" s="175"/>
      <c r="FS222" s="175"/>
      <c r="FT222" s="175"/>
      <c r="FU222" s="175"/>
      <c r="FV222" s="175"/>
      <c r="FW222" s="175"/>
      <c r="FX222" s="175"/>
      <c r="FY222" s="175"/>
      <c r="FZ222" s="175"/>
      <c r="GA222" s="175"/>
      <c r="GB222" s="175"/>
      <c r="GC222" s="175"/>
      <c r="GD222" s="175"/>
      <c r="GE222" s="175"/>
      <c r="GF222" s="175"/>
      <c r="GG222" s="175"/>
      <c r="GH222" s="175"/>
      <c r="GI222" s="175"/>
      <c r="GJ222" s="175"/>
      <c r="GK222" s="175"/>
      <c r="GL222" s="175"/>
      <c r="GM222" s="175"/>
      <c r="GN222" s="175"/>
      <c r="GO222" s="175"/>
      <c r="GP222" s="175"/>
      <c r="GQ222" s="175"/>
      <c r="GR222" s="175"/>
      <c r="GS222" s="175"/>
      <c r="GT222" s="175"/>
      <c r="GU222" s="175"/>
      <c r="GV222" s="175"/>
      <c r="GW222" s="175"/>
      <c r="GX222" s="175"/>
      <c r="GY222" s="175"/>
      <c r="GZ222" s="175"/>
      <c r="HA222" s="175"/>
      <c r="HB222" s="175"/>
      <c r="HC222" s="175"/>
      <c r="HD222" s="175"/>
      <c r="HE222" s="175"/>
      <c r="HF222" s="175"/>
      <c r="HG222" s="175"/>
      <c r="HH222" s="175"/>
      <c r="HI222" s="175"/>
      <c r="HJ222" s="175"/>
      <c r="HK222" s="175"/>
      <c r="HL222" s="175"/>
      <c r="HM222" s="175"/>
      <c r="HN222" s="175"/>
      <c r="HO222" s="175"/>
      <c r="HP222" s="175"/>
      <c r="HQ222" s="175"/>
      <c r="HR222" s="175"/>
      <c r="HS222" s="175"/>
      <c r="HT222" s="175"/>
      <c r="HU222" s="175"/>
      <c r="HV222" s="175"/>
      <c r="HW222" s="175"/>
      <c r="HX222" s="175"/>
      <c r="HY222" s="175"/>
      <c r="HZ222" s="175"/>
      <c r="IA222" s="175"/>
      <c r="IB222" s="175"/>
      <c r="IC222" s="175"/>
      <c r="ID222" s="175"/>
      <c r="IE222" s="175"/>
      <c r="IF222" s="175"/>
      <c r="IG222" s="175"/>
      <c r="IH222" s="175"/>
      <c r="II222" s="175"/>
      <c r="IJ222" s="175"/>
      <c r="IK222" s="175"/>
      <c r="IL222" s="175"/>
      <c r="IM222" s="175"/>
      <c r="IN222" s="175"/>
      <c r="IO222" s="175"/>
      <c r="IP222" s="175"/>
      <c r="IQ222" s="175"/>
      <c r="IR222" s="175"/>
      <c r="IS222" s="175"/>
      <c r="IT222" s="175"/>
      <c r="IU222" s="175"/>
      <c r="IV222" s="175"/>
      <c r="IW222" s="175"/>
      <c r="IX222" s="175"/>
      <c r="IY222" s="175"/>
      <c r="IZ222" s="175"/>
      <c r="JA222" s="175"/>
      <c r="JB222" s="175"/>
      <c r="JC222" s="175"/>
      <c r="JD222" s="175"/>
      <c r="JE222" s="175"/>
      <c r="JF222" s="175"/>
      <c r="JG222" s="175"/>
      <c r="JH222" s="175"/>
      <c r="JI222" s="175"/>
      <c r="JJ222" s="175"/>
      <c r="JK222" s="175"/>
      <c r="JL222" s="175"/>
      <c r="JM222" s="175"/>
      <c r="JN222" s="175"/>
      <c r="JO222" s="175"/>
      <c r="JP222" s="175"/>
      <c r="JQ222" s="175"/>
      <c r="JR222" s="175"/>
      <c r="JS222" s="175"/>
      <c r="JT222" s="175"/>
      <c r="JU222" s="175"/>
      <c r="JV222" s="175"/>
      <c r="JW222" s="175"/>
      <c r="JX222" s="175"/>
      <c r="JY222" s="175"/>
      <c r="JZ222" s="175"/>
      <c r="KA222" s="175"/>
      <c r="KB222" s="175"/>
      <c r="KC222" s="175"/>
      <c r="KD222" s="175"/>
      <c r="KE222" s="175"/>
      <c r="KF222" s="175"/>
      <c r="KG222" s="175"/>
      <c r="KH222" s="175"/>
      <c r="KI222" s="175"/>
      <c r="KJ222" s="175"/>
      <c r="KK222" s="175"/>
      <c r="KL222" s="175"/>
      <c r="KM222" s="175"/>
      <c r="KN222" s="175"/>
      <c r="KO222" s="175"/>
      <c r="KP222" s="175"/>
      <c r="KQ222" s="175"/>
      <c r="KR222" s="175"/>
      <c r="KS222" s="175"/>
      <c r="KT222" s="175"/>
      <c r="KU222" s="175"/>
    </row>
    <row r="223" spans="1:307" x14ac:dyDescent="0.2">
      <c r="A223" s="172"/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  <c r="BE223" s="172"/>
      <c r="BF223" s="172"/>
      <c r="BG223" s="172"/>
      <c r="BH223" s="172"/>
      <c r="BI223" s="172"/>
      <c r="BJ223" s="172"/>
      <c r="BK223" s="172"/>
      <c r="BL223" s="172"/>
      <c r="BM223" s="172"/>
      <c r="BN223" s="172"/>
      <c r="BO223" s="172"/>
      <c r="BP223" s="172"/>
      <c r="BQ223" s="172"/>
      <c r="BR223" s="172"/>
      <c r="BS223" s="172"/>
      <c r="BT223" s="172"/>
      <c r="BU223" s="172"/>
      <c r="BV223" s="172"/>
      <c r="BW223" s="172"/>
      <c r="BX223" s="175"/>
      <c r="BY223" s="175"/>
      <c r="BZ223" s="175"/>
      <c r="CA223" s="175"/>
      <c r="CB223" s="175"/>
      <c r="CC223" s="175"/>
      <c r="CD223" s="175"/>
      <c r="CE223" s="175"/>
      <c r="CF223" s="175"/>
      <c r="CG223" s="175"/>
      <c r="CH223" s="175"/>
      <c r="CI223" s="175"/>
      <c r="CJ223" s="175"/>
      <c r="CK223" s="175"/>
      <c r="CL223" s="175"/>
      <c r="CM223" s="175"/>
      <c r="CN223" s="175"/>
      <c r="CO223" s="175"/>
      <c r="CP223" s="175"/>
      <c r="CQ223" s="175"/>
      <c r="CR223" s="175"/>
      <c r="CS223" s="175"/>
      <c r="CT223" s="175"/>
      <c r="CU223" s="175"/>
      <c r="CV223" s="175"/>
      <c r="CW223" s="175"/>
      <c r="CX223" s="175"/>
      <c r="CY223" s="175"/>
      <c r="CZ223" s="175"/>
      <c r="DA223" s="175"/>
      <c r="DB223" s="175"/>
      <c r="DC223" s="175"/>
      <c r="DD223" s="175"/>
      <c r="DE223" s="175"/>
      <c r="DF223" s="175"/>
      <c r="DG223" s="175"/>
      <c r="DH223" s="175"/>
      <c r="DI223" s="175"/>
      <c r="DJ223" s="175"/>
      <c r="DK223" s="175"/>
      <c r="DL223" s="175"/>
      <c r="DM223" s="175"/>
      <c r="DN223" s="175"/>
      <c r="DO223" s="175"/>
      <c r="DP223" s="175"/>
      <c r="DQ223" s="175"/>
      <c r="DR223" s="175"/>
      <c r="DS223" s="175"/>
      <c r="DT223" s="175"/>
      <c r="DU223" s="175"/>
      <c r="DV223" s="175"/>
      <c r="DW223" s="175"/>
      <c r="DX223" s="175"/>
      <c r="DY223" s="175"/>
      <c r="DZ223" s="175"/>
      <c r="EA223" s="175"/>
      <c r="EB223" s="175"/>
      <c r="EC223" s="175"/>
      <c r="ED223" s="175"/>
      <c r="EE223" s="175"/>
      <c r="EF223" s="175"/>
      <c r="EG223" s="175"/>
      <c r="EH223" s="175"/>
      <c r="EI223" s="175"/>
      <c r="EJ223" s="175"/>
      <c r="EK223" s="175"/>
      <c r="EL223" s="175"/>
      <c r="EM223" s="175"/>
      <c r="EN223" s="175"/>
      <c r="EO223" s="175"/>
      <c r="EP223" s="175"/>
      <c r="EQ223" s="175"/>
      <c r="ER223" s="175"/>
      <c r="ES223" s="175"/>
      <c r="ET223" s="175"/>
      <c r="EU223" s="175"/>
      <c r="EV223" s="175"/>
      <c r="EW223" s="175"/>
      <c r="EX223" s="175"/>
      <c r="EY223" s="175"/>
      <c r="EZ223" s="175"/>
      <c r="FA223" s="175"/>
      <c r="FB223" s="175"/>
      <c r="FC223" s="175"/>
      <c r="FD223" s="175"/>
      <c r="FE223" s="175"/>
      <c r="FF223" s="175"/>
      <c r="FG223" s="175"/>
      <c r="FH223" s="175"/>
      <c r="FI223" s="175"/>
      <c r="FJ223" s="175"/>
      <c r="FK223" s="175"/>
      <c r="FL223" s="175"/>
      <c r="FM223" s="175"/>
      <c r="FN223" s="175"/>
      <c r="FO223" s="175"/>
      <c r="FP223" s="175"/>
      <c r="FQ223" s="175"/>
      <c r="FR223" s="175"/>
      <c r="FS223" s="175"/>
      <c r="FT223" s="175"/>
      <c r="FU223" s="175"/>
      <c r="FV223" s="175"/>
      <c r="FW223" s="175"/>
      <c r="FX223" s="175"/>
      <c r="FY223" s="175"/>
      <c r="FZ223" s="175"/>
      <c r="GA223" s="175"/>
      <c r="GB223" s="175"/>
      <c r="GC223" s="175"/>
      <c r="GD223" s="175"/>
      <c r="GE223" s="175"/>
      <c r="GF223" s="175"/>
      <c r="GG223" s="175"/>
      <c r="GH223" s="175"/>
      <c r="GI223" s="175"/>
      <c r="GJ223" s="175"/>
      <c r="GK223" s="175"/>
      <c r="GL223" s="175"/>
      <c r="GM223" s="175"/>
      <c r="GN223" s="175"/>
      <c r="GO223" s="175"/>
      <c r="GP223" s="175"/>
      <c r="GQ223" s="175"/>
      <c r="GR223" s="175"/>
      <c r="GS223" s="175"/>
      <c r="GT223" s="175"/>
      <c r="GU223" s="175"/>
      <c r="GV223" s="175"/>
      <c r="GW223" s="175"/>
      <c r="GX223" s="175"/>
      <c r="GY223" s="175"/>
      <c r="GZ223" s="175"/>
      <c r="HA223" s="175"/>
      <c r="HB223" s="175"/>
      <c r="HC223" s="175"/>
      <c r="HD223" s="175"/>
      <c r="HE223" s="175"/>
      <c r="HF223" s="175"/>
      <c r="HG223" s="175"/>
      <c r="HH223" s="175"/>
      <c r="HI223" s="175"/>
      <c r="HJ223" s="175"/>
      <c r="HK223" s="175"/>
      <c r="HL223" s="175"/>
      <c r="HM223" s="175"/>
      <c r="HN223" s="175"/>
      <c r="HO223" s="175"/>
      <c r="HP223" s="175"/>
      <c r="HQ223" s="175"/>
      <c r="HR223" s="175"/>
      <c r="HS223" s="175"/>
      <c r="HT223" s="175"/>
      <c r="HU223" s="175"/>
      <c r="HV223" s="175"/>
      <c r="HW223" s="175"/>
      <c r="HX223" s="175"/>
      <c r="HY223" s="175"/>
      <c r="HZ223" s="175"/>
      <c r="IA223" s="175"/>
      <c r="IB223" s="175"/>
      <c r="IC223" s="175"/>
      <c r="ID223" s="175"/>
      <c r="IE223" s="175"/>
      <c r="IF223" s="175"/>
      <c r="IG223" s="175"/>
      <c r="IH223" s="175"/>
      <c r="II223" s="175"/>
      <c r="IJ223" s="175"/>
      <c r="IK223" s="175"/>
      <c r="IL223" s="175"/>
      <c r="IM223" s="175"/>
      <c r="IN223" s="175"/>
      <c r="IO223" s="175"/>
      <c r="IP223" s="175"/>
      <c r="IQ223" s="175"/>
      <c r="IR223" s="175"/>
      <c r="IS223" s="175"/>
      <c r="IT223" s="175"/>
      <c r="IU223" s="175"/>
      <c r="IV223" s="175"/>
      <c r="IW223" s="175"/>
      <c r="IX223" s="175"/>
      <c r="IY223" s="175"/>
      <c r="IZ223" s="175"/>
      <c r="JA223" s="175"/>
      <c r="JB223" s="175"/>
      <c r="JC223" s="175"/>
      <c r="JD223" s="175"/>
      <c r="JE223" s="175"/>
      <c r="JF223" s="175"/>
      <c r="JG223" s="175"/>
      <c r="JH223" s="175"/>
      <c r="JI223" s="175"/>
      <c r="JJ223" s="175"/>
      <c r="JK223" s="175"/>
      <c r="JL223" s="175"/>
      <c r="JM223" s="175"/>
      <c r="JN223" s="175"/>
      <c r="JO223" s="175"/>
      <c r="JP223" s="175"/>
      <c r="JQ223" s="175"/>
      <c r="JR223" s="175"/>
      <c r="JS223" s="175"/>
      <c r="JT223" s="175"/>
      <c r="JU223" s="175"/>
      <c r="JV223" s="175"/>
      <c r="JW223" s="175"/>
      <c r="JX223" s="175"/>
      <c r="JY223" s="175"/>
      <c r="JZ223" s="175"/>
      <c r="KA223" s="175"/>
      <c r="KB223" s="175"/>
      <c r="KC223" s="175"/>
      <c r="KD223" s="175"/>
      <c r="KE223" s="175"/>
      <c r="KF223" s="175"/>
      <c r="KG223" s="175"/>
      <c r="KH223" s="175"/>
      <c r="KI223" s="175"/>
      <c r="KJ223" s="175"/>
      <c r="KK223" s="175"/>
      <c r="KL223" s="175"/>
      <c r="KM223" s="175"/>
      <c r="KN223" s="175"/>
      <c r="KO223" s="175"/>
      <c r="KP223" s="175"/>
      <c r="KQ223" s="175"/>
      <c r="KR223" s="175"/>
      <c r="KS223" s="175"/>
      <c r="KT223" s="175"/>
      <c r="KU223" s="175"/>
    </row>
    <row r="224" spans="1:307" x14ac:dyDescent="0.2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  <c r="BP224" s="172"/>
      <c r="BQ224" s="172"/>
      <c r="BR224" s="172"/>
      <c r="BS224" s="172"/>
      <c r="BT224" s="172"/>
      <c r="BU224" s="172"/>
      <c r="BV224" s="172"/>
      <c r="BW224" s="172"/>
      <c r="BX224" s="175"/>
      <c r="BY224" s="175"/>
      <c r="BZ224" s="175"/>
      <c r="CA224" s="175"/>
      <c r="CB224" s="175"/>
      <c r="CC224" s="175"/>
      <c r="CD224" s="175"/>
      <c r="CE224" s="175"/>
      <c r="CF224" s="175"/>
      <c r="CG224" s="175"/>
      <c r="CH224" s="175"/>
      <c r="CI224" s="175"/>
      <c r="CJ224" s="175"/>
      <c r="CK224" s="175"/>
      <c r="CL224" s="175"/>
      <c r="CM224" s="175"/>
      <c r="CN224" s="175"/>
      <c r="CO224" s="175"/>
      <c r="CP224" s="175"/>
      <c r="CQ224" s="175"/>
      <c r="CR224" s="175"/>
      <c r="CS224" s="175"/>
      <c r="CT224" s="175"/>
      <c r="CU224" s="175"/>
      <c r="CV224" s="175"/>
      <c r="CW224" s="175"/>
      <c r="CX224" s="175"/>
      <c r="CY224" s="175"/>
      <c r="CZ224" s="175"/>
      <c r="DA224" s="175"/>
      <c r="DB224" s="175"/>
      <c r="DC224" s="175"/>
      <c r="DD224" s="175"/>
      <c r="DE224" s="175"/>
      <c r="DF224" s="175"/>
      <c r="DG224" s="175"/>
      <c r="DH224" s="175"/>
      <c r="DI224" s="175"/>
      <c r="DJ224" s="175"/>
      <c r="DK224" s="175"/>
      <c r="DL224" s="175"/>
      <c r="DM224" s="175"/>
      <c r="DN224" s="175"/>
      <c r="DO224" s="175"/>
      <c r="DP224" s="175"/>
      <c r="DQ224" s="175"/>
      <c r="DR224" s="175"/>
      <c r="DS224" s="175"/>
      <c r="DT224" s="175"/>
      <c r="DU224" s="175"/>
      <c r="DV224" s="175"/>
      <c r="DW224" s="175"/>
      <c r="DX224" s="175"/>
      <c r="DY224" s="175"/>
      <c r="DZ224" s="175"/>
      <c r="EA224" s="175"/>
      <c r="EB224" s="175"/>
      <c r="EC224" s="175"/>
      <c r="ED224" s="175"/>
      <c r="EE224" s="175"/>
      <c r="EF224" s="175"/>
      <c r="EG224" s="175"/>
      <c r="EH224" s="175"/>
      <c r="EI224" s="175"/>
      <c r="EJ224" s="175"/>
      <c r="EK224" s="175"/>
      <c r="EL224" s="175"/>
      <c r="EM224" s="175"/>
      <c r="EN224" s="175"/>
      <c r="EO224" s="175"/>
      <c r="EP224" s="175"/>
      <c r="EQ224" s="175"/>
      <c r="ER224" s="175"/>
      <c r="ES224" s="175"/>
      <c r="ET224" s="175"/>
      <c r="EU224" s="175"/>
      <c r="EV224" s="175"/>
      <c r="EW224" s="175"/>
      <c r="EX224" s="175"/>
      <c r="EY224" s="175"/>
      <c r="EZ224" s="175"/>
      <c r="FA224" s="175"/>
      <c r="FB224" s="175"/>
      <c r="FC224" s="175"/>
      <c r="FD224" s="175"/>
      <c r="FE224" s="175"/>
      <c r="FF224" s="175"/>
      <c r="FG224" s="175"/>
      <c r="FH224" s="175"/>
      <c r="FI224" s="175"/>
      <c r="FJ224" s="175"/>
      <c r="FK224" s="175"/>
      <c r="FL224" s="175"/>
      <c r="FM224" s="175"/>
      <c r="FN224" s="175"/>
      <c r="FO224" s="175"/>
      <c r="FP224" s="175"/>
      <c r="FQ224" s="175"/>
      <c r="FR224" s="175"/>
      <c r="FS224" s="175"/>
      <c r="FT224" s="175"/>
      <c r="FU224" s="175"/>
      <c r="FV224" s="175"/>
      <c r="FW224" s="175"/>
      <c r="FX224" s="175"/>
      <c r="FY224" s="175"/>
      <c r="FZ224" s="175"/>
      <c r="GA224" s="175"/>
      <c r="GB224" s="175"/>
      <c r="GC224" s="175"/>
      <c r="GD224" s="175"/>
      <c r="GE224" s="175"/>
      <c r="GF224" s="175"/>
      <c r="GG224" s="175"/>
      <c r="GH224" s="175"/>
      <c r="GI224" s="175"/>
      <c r="GJ224" s="175"/>
      <c r="GK224" s="175"/>
      <c r="GL224" s="175"/>
      <c r="GM224" s="175"/>
      <c r="GN224" s="175"/>
      <c r="GO224" s="175"/>
      <c r="GP224" s="175"/>
      <c r="GQ224" s="175"/>
      <c r="GR224" s="175"/>
      <c r="GS224" s="175"/>
      <c r="GT224" s="175"/>
      <c r="GU224" s="175"/>
      <c r="GV224" s="175"/>
      <c r="GW224" s="175"/>
      <c r="GX224" s="175"/>
      <c r="GY224" s="175"/>
      <c r="GZ224" s="175"/>
      <c r="HA224" s="175"/>
      <c r="HB224" s="175"/>
      <c r="HC224" s="175"/>
      <c r="HD224" s="175"/>
      <c r="HE224" s="175"/>
      <c r="HF224" s="175"/>
      <c r="HG224" s="175"/>
      <c r="HH224" s="175"/>
      <c r="HI224" s="175"/>
      <c r="HJ224" s="175"/>
      <c r="HK224" s="175"/>
      <c r="HL224" s="175"/>
      <c r="HM224" s="175"/>
      <c r="HN224" s="175"/>
      <c r="HO224" s="175"/>
      <c r="HP224" s="175"/>
      <c r="HQ224" s="175"/>
      <c r="HR224" s="175"/>
      <c r="HS224" s="175"/>
      <c r="HT224" s="175"/>
      <c r="HU224" s="175"/>
      <c r="HV224" s="175"/>
      <c r="HW224" s="175"/>
      <c r="HX224" s="175"/>
      <c r="HY224" s="175"/>
      <c r="HZ224" s="175"/>
      <c r="IA224" s="175"/>
      <c r="IB224" s="175"/>
      <c r="IC224" s="175"/>
      <c r="ID224" s="175"/>
      <c r="IE224" s="175"/>
      <c r="IF224" s="175"/>
      <c r="IG224" s="175"/>
      <c r="IH224" s="175"/>
      <c r="II224" s="175"/>
      <c r="IJ224" s="175"/>
      <c r="IK224" s="175"/>
      <c r="IL224" s="175"/>
      <c r="IM224" s="175"/>
      <c r="IN224" s="175"/>
      <c r="IO224" s="175"/>
      <c r="IP224" s="175"/>
      <c r="IQ224" s="175"/>
      <c r="IR224" s="175"/>
      <c r="IS224" s="175"/>
      <c r="IT224" s="175"/>
      <c r="IU224" s="175"/>
      <c r="IV224" s="175"/>
      <c r="IW224" s="175"/>
      <c r="IX224" s="175"/>
      <c r="IY224" s="175"/>
      <c r="IZ224" s="175"/>
      <c r="JA224" s="175"/>
      <c r="JB224" s="175"/>
      <c r="JC224" s="175"/>
      <c r="JD224" s="175"/>
      <c r="JE224" s="175"/>
      <c r="JF224" s="175"/>
      <c r="JG224" s="175"/>
      <c r="JH224" s="175"/>
      <c r="JI224" s="175"/>
      <c r="JJ224" s="175"/>
      <c r="JK224" s="175"/>
      <c r="JL224" s="175"/>
      <c r="JM224" s="175"/>
      <c r="JN224" s="175"/>
      <c r="JO224" s="175"/>
      <c r="JP224" s="175"/>
      <c r="JQ224" s="175"/>
      <c r="JR224" s="175"/>
      <c r="JS224" s="175"/>
      <c r="JT224" s="175"/>
      <c r="JU224" s="175"/>
      <c r="JV224" s="175"/>
      <c r="JW224" s="175"/>
      <c r="JX224" s="175"/>
      <c r="JY224" s="175"/>
      <c r="JZ224" s="175"/>
      <c r="KA224" s="175"/>
      <c r="KB224" s="175"/>
      <c r="KC224" s="175"/>
      <c r="KD224" s="175"/>
      <c r="KE224" s="175"/>
      <c r="KF224" s="175"/>
      <c r="KG224" s="175"/>
      <c r="KH224" s="175"/>
      <c r="KI224" s="175"/>
      <c r="KJ224" s="175"/>
      <c r="KK224" s="175"/>
      <c r="KL224" s="175"/>
      <c r="KM224" s="175"/>
      <c r="KN224" s="175"/>
      <c r="KO224" s="175"/>
      <c r="KP224" s="175"/>
      <c r="KQ224" s="175"/>
      <c r="KR224" s="175"/>
      <c r="KS224" s="175"/>
      <c r="KT224" s="175"/>
      <c r="KU224" s="175"/>
    </row>
    <row r="225" spans="1:307" x14ac:dyDescent="0.2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  <c r="AP225" s="172"/>
      <c r="AQ225" s="172"/>
      <c r="AR225" s="172"/>
      <c r="AS225" s="172"/>
      <c r="AT225" s="172"/>
      <c r="AU225" s="172"/>
      <c r="AV225" s="172"/>
      <c r="AW225" s="172"/>
      <c r="AX225" s="172"/>
      <c r="AY225" s="172"/>
      <c r="AZ225" s="172"/>
      <c r="BA225" s="172"/>
      <c r="BB225" s="172"/>
      <c r="BC225" s="172"/>
      <c r="BD225" s="172"/>
      <c r="BE225" s="172"/>
      <c r="BF225" s="172"/>
      <c r="BG225" s="172"/>
      <c r="BH225" s="172"/>
      <c r="BI225" s="172"/>
      <c r="BJ225" s="172"/>
      <c r="BK225" s="172"/>
      <c r="BL225" s="172"/>
      <c r="BM225" s="172"/>
      <c r="BN225" s="172"/>
      <c r="BO225" s="172"/>
      <c r="BP225" s="172"/>
      <c r="BQ225" s="172"/>
      <c r="BR225" s="172"/>
      <c r="BS225" s="172"/>
      <c r="BT225" s="172"/>
      <c r="BU225" s="172"/>
      <c r="BV225" s="172"/>
      <c r="BW225" s="172"/>
      <c r="BX225" s="175"/>
      <c r="BY225" s="175"/>
      <c r="BZ225" s="175"/>
      <c r="CA225" s="175"/>
      <c r="CB225" s="175"/>
      <c r="CC225" s="175"/>
      <c r="CD225" s="175"/>
      <c r="CE225" s="175"/>
      <c r="CF225" s="175"/>
      <c r="CG225" s="175"/>
      <c r="CH225" s="175"/>
      <c r="CI225" s="175"/>
      <c r="CJ225" s="175"/>
      <c r="CK225" s="175"/>
      <c r="CL225" s="175"/>
      <c r="CM225" s="175"/>
      <c r="CN225" s="175"/>
      <c r="CO225" s="175"/>
      <c r="CP225" s="175"/>
      <c r="CQ225" s="175"/>
      <c r="CR225" s="175"/>
      <c r="CS225" s="175"/>
      <c r="CT225" s="175"/>
      <c r="CU225" s="175"/>
      <c r="CV225" s="175"/>
      <c r="CW225" s="175"/>
      <c r="CX225" s="175"/>
      <c r="CY225" s="175"/>
      <c r="CZ225" s="175"/>
      <c r="DA225" s="175"/>
      <c r="DB225" s="175"/>
      <c r="DC225" s="175"/>
      <c r="DD225" s="175"/>
      <c r="DE225" s="175"/>
      <c r="DF225" s="175"/>
      <c r="DG225" s="175"/>
      <c r="DH225" s="175"/>
      <c r="DI225" s="175"/>
      <c r="DJ225" s="175"/>
      <c r="DK225" s="175"/>
      <c r="DL225" s="175"/>
      <c r="DM225" s="175"/>
      <c r="DN225" s="175"/>
      <c r="DO225" s="175"/>
      <c r="DP225" s="175"/>
      <c r="DQ225" s="175"/>
      <c r="DR225" s="175"/>
      <c r="DS225" s="175"/>
      <c r="DT225" s="175"/>
      <c r="DU225" s="175"/>
      <c r="DV225" s="175"/>
      <c r="DW225" s="175"/>
      <c r="DX225" s="175"/>
      <c r="DY225" s="175"/>
      <c r="DZ225" s="175"/>
      <c r="EA225" s="175"/>
      <c r="EB225" s="175"/>
      <c r="EC225" s="175"/>
      <c r="ED225" s="175"/>
      <c r="EE225" s="175"/>
      <c r="EF225" s="175"/>
      <c r="EG225" s="175"/>
      <c r="EH225" s="175"/>
      <c r="EI225" s="175"/>
      <c r="EJ225" s="175"/>
      <c r="EK225" s="175"/>
      <c r="EL225" s="175"/>
      <c r="EM225" s="175"/>
      <c r="EN225" s="175"/>
      <c r="EO225" s="175"/>
      <c r="EP225" s="175"/>
      <c r="EQ225" s="175"/>
      <c r="ER225" s="175"/>
      <c r="ES225" s="175"/>
      <c r="ET225" s="175"/>
      <c r="EU225" s="175"/>
      <c r="EV225" s="175"/>
      <c r="EW225" s="175"/>
      <c r="EX225" s="175"/>
      <c r="EY225" s="175"/>
      <c r="EZ225" s="175"/>
      <c r="FA225" s="175"/>
      <c r="FB225" s="175"/>
      <c r="FC225" s="175"/>
      <c r="FD225" s="175"/>
      <c r="FE225" s="175"/>
      <c r="FF225" s="175"/>
      <c r="FG225" s="175"/>
      <c r="FH225" s="175"/>
      <c r="FI225" s="175"/>
      <c r="FJ225" s="175"/>
      <c r="FK225" s="175"/>
      <c r="FL225" s="175"/>
      <c r="FM225" s="175"/>
      <c r="FN225" s="175"/>
      <c r="FO225" s="175"/>
      <c r="FP225" s="175"/>
      <c r="FQ225" s="175"/>
      <c r="FR225" s="175"/>
      <c r="FS225" s="175"/>
      <c r="FT225" s="175"/>
      <c r="FU225" s="175"/>
      <c r="FV225" s="175"/>
      <c r="FW225" s="175"/>
      <c r="FX225" s="175"/>
      <c r="FY225" s="175"/>
      <c r="FZ225" s="175"/>
      <c r="GA225" s="175"/>
      <c r="GB225" s="175"/>
      <c r="GC225" s="175"/>
      <c r="GD225" s="175"/>
      <c r="GE225" s="175"/>
      <c r="GF225" s="175"/>
      <c r="GG225" s="175"/>
      <c r="GH225" s="175"/>
      <c r="GI225" s="175"/>
      <c r="GJ225" s="175"/>
      <c r="GK225" s="175"/>
      <c r="GL225" s="175"/>
      <c r="GM225" s="175"/>
      <c r="GN225" s="175"/>
      <c r="GO225" s="175"/>
      <c r="GP225" s="175"/>
      <c r="GQ225" s="175"/>
      <c r="GR225" s="175"/>
      <c r="GS225" s="175"/>
      <c r="GT225" s="175"/>
      <c r="GU225" s="175"/>
      <c r="GV225" s="175"/>
      <c r="GW225" s="175"/>
      <c r="GX225" s="175"/>
      <c r="GY225" s="175"/>
      <c r="GZ225" s="175"/>
      <c r="HA225" s="175"/>
      <c r="HB225" s="175"/>
      <c r="HC225" s="175"/>
      <c r="HD225" s="175"/>
      <c r="HE225" s="175"/>
      <c r="HF225" s="175"/>
      <c r="HG225" s="175"/>
      <c r="HH225" s="175"/>
      <c r="HI225" s="175"/>
      <c r="HJ225" s="175"/>
      <c r="HK225" s="175"/>
      <c r="HL225" s="175"/>
      <c r="HM225" s="175"/>
      <c r="HN225" s="175"/>
      <c r="HO225" s="175"/>
      <c r="HP225" s="175"/>
      <c r="HQ225" s="175"/>
      <c r="HR225" s="175"/>
      <c r="HS225" s="175"/>
      <c r="HT225" s="175"/>
      <c r="HU225" s="175"/>
      <c r="HV225" s="175"/>
      <c r="HW225" s="175"/>
      <c r="HX225" s="175"/>
      <c r="HY225" s="175"/>
      <c r="HZ225" s="175"/>
      <c r="IA225" s="175"/>
      <c r="IB225" s="175"/>
      <c r="IC225" s="175"/>
      <c r="ID225" s="175"/>
      <c r="IE225" s="175"/>
      <c r="IF225" s="175"/>
      <c r="IG225" s="175"/>
      <c r="IH225" s="175"/>
      <c r="II225" s="175"/>
      <c r="IJ225" s="175"/>
      <c r="IK225" s="175"/>
      <c r="IL225" s="175"/>
      <c r="IM225" s="175"/>
      <c r="IN225" s="175"/>
      <c r="IO225" s="175"/>
      <c r="IP225" s="175"/>
      <c r="IQ225" s="175"/>
      <c r="IR225" s="175"/>
      <c r="IS225" s="175"/>
      <c r="IT225" s="175"/>
      <c r="IU225" s="175"/>
      <c r="IV225" s="175"/>
      <c r="IW225" s="175"/>
      <c r="IX225" s="175"/>
      <c r="IY225" s="175"/>
      <c r="IZ225" s="175"/>
      <c r="JA225" s="175"/>
      <c r="JB225" s="175"/>
      <c r="JC225" s="175"/>
      <c r="JD225" s="175"/>
      <c r="JE225" s="175"/>
      <c r="JF225" s="175"/>
      <c r="JG225" s="175"/>
      <c r="JH225" s="175"/>
      <c r="JI225" s="175"/>
      <c r="JJ225" s="175"/>
      <c r="JK225" s="175"/>
      <c r="JL225" s="175"/>
      <c r="JM225" s="175"/>
      <c r="JN225" s="175"/>
      <c r="JO225" s="175"/>
      <c r="JP225" s="175"/>
      <c r="JQ225" s="175"/>
      <c r="JR225" s="175"/>
      <c r="JS225" s="175"/>
      <c r="JT225" s="175"/>
      <c r="JU225" s="175"/>
      <c r="JV225" s="175"/>
      <c r="JW225" s="175"/>
      <c r="JX225" s="175"/>
      <c r="JY225" s="175"/>
      <c r="JZ225" s="175"/>
      <c r="KA225" s="175"/>
      <c r="KB225" s="175"/>
      <c r="KC225" s="175"/>
      <c r="KD225" s="175"/>
      <c r="KE225" s="175"/>
      <c r="KF225" s="175"/>
      <c r="KG225" s="175"/>
      <c r="KH225" s="175"/>
      <c r="KI225" s="175"/>
      <c r="KJ225" s="175"/>
      <c r="KK225" s="175"/>
      <c r="KL225" s="175"/>
      <c r="KM225" s="175"/>
      <c r="KN225" s="175"/>
      <c r="KO225" s="175"/>
      <c r="KP225" s="175"/>
      <c r="KQ225" s="175"/>
      <c r="KR225" s="175"/>
      <c r="KS225" s="175"/>
      <c r="KT225" s="175"/>
      <c r="KU225" s="175"/>
    </row>
    <row r="226" spans="1:307" x14ac:dyDescent="0.2">
      <c r="A226" s="172"/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2"/>
      <c r="AT226" s="172"/>
      <c r="AU226" s="172"/>
      <c r="AV226" s="172"/>
      <c r="AW226" s="172"/>
      <c r="AX226" s="172"/>
      <c r="AY226" s="172"/>
      <c r="AZ226" s="172"/>
      <c r="BA226" s="172"/>
      <c r="BB226" s="172"/>
      <c r="BC226" s="172"/>
      <c r="BD226" s="172"/>
      <c r="BE226" s="172"/>
      <c r="BF226" s="172"/>
      <c r="BG226" s="172"/>
      <c r="BH226" s="172"/>
      <c r="BI226" s="172"/>
      <c r="BJ226" s="172"/>
      <c r="BK226" s="172"/>
      <c r="BL226" s="172"/>
      <c r="BM226" s="172"/>
      <c r="BN226" s="172"/>
      <c r="BO226" s="172"/>
      <c r="BP226" s="172"/>
      <c r="BQ226" s="172"/>
      <c r="BR226" s="172"/>
      <c r="BS226" s="172"/>
      <c r="BT226" s="172"/>
      <c r="BU226" s="172"/>
      <c r="BV226" s="172"/>
      <c r="BW226" s="172"/>
      <c r="BX226" s="175"/>
      <c r="BY226" s="175"/>
      <c r="BZ226" s="175"/>
      <c r="CA226" s="175"/>
      <c r="CB226" s="175"/>
      <c r="CC226" s="175"/>
      <c r="CD226" s="175"/>
      <c r="CE226" s="175"/>
      <c r="CF226" s="175"/>
      <c r="CG226" s="175"/>
      <c r="CH226" s="175"/>
      <c r="CI226" s="175"/>
      <c r="CJ226" s="175"/>
      <c r="CK226" s="175"/>
      <c r="CL226" s="175"/>
      <c r="CM226" s="175"/>
      <c r="CN226" s="175"/>
      <c r="CO226" s="175"/>
      <c r="CP226" s="175"/>
      <c r="CQ226" s="175"/>
      <c r="CR226" s="175"/>
      <c r="CS226" s="175"/>
      <c r="CT226" s="175"/>
      <c r="CU226" s="175"/>
      <c r="CV226" s="175"/>
      <c r="CW226" s="175"/>
      <c r="CX226" s="175"/>
      <c r="CY226" s="175"/>
      <c r="CZ226" s="175"/>
      <c r="DA226" s="175"/>
      <c r="DB226" s="175"/>
      <c r="DC226" s="175"/>
      <c r="DD226" s="175"/>
      <c r="DE226" s="175"/>
      <c r="DF226" s="175"/>
      <c r="DG226" s="175"/>
      <c r="DH226" s="175"/>
      <c r="DI226" s="175"/>
      <c r="DJ226" s="175"/>
      <c r="DK226" s="175"/>
      <c r="DL226" s="175"/>
      <c r="DM226" s="175"/>
      <c r="DN226" s="175"/>
      <c r="DO226" s="175"/>
      <c r="DP226" s="175"/>
      <c r="DQ226" s="175"/>
      <c r="DR226" s="175"/>
      <c r="DS226" s="175"/>
      <c r="DT226" s="175"/>
      <c r="DU226" s="175"/>
      <c r="DV226" s="175"/>
      <c r="DW226" s="175"/>
      <c r="DX226" s="175"/>
      <c r="DY226" s="175"/>
      <c r="DZ226" s="175"/>
      <c r="EA226" s="175"/>
      <c r="EB226" s="175"/>
      <c r="EC226" s="175"/>
      <c r="ED226" s="175"/>
      <c r="EE226" s="175"/>
      <c r="EF226" s="175"/>
      <c r="EG226" s="175"/>
      <c r="EH226" s="175"/>
      <c r="EI226" s="175"/>
      <c r="EJ226" s="175"/>
      <c r="EK226" s="175"/>
      <c r="EL226" s="175"/>
      <c r="EM226" s="175"/>
      <c r="EN226" s="175"/>
      <c r="EO226" s="175"/>
      <c r="EP226" s="175"/>
      <c r="EQ226" s="175"/>
      <c r="ER226" s="175"/>
      <c r="ES226" s="175"/>
      <c r="ET226" s="175"/>
      <c r="EU226" s="175"/>
      <c r="EV226" s="175"/>
      <c r="EW226" s="175"/>
      <c r="EX226" s="175"/>
      <c r="EY226" s="175"/>
      <c r="EZ226" s="175"/>
      <c r="FA226" s="175"/>
      <c r="FB226" s="175"/>
      <c r="FC226" s="175"/>
      <c r="FD226" s="175"/>
      <c r="FE226" s="175"/>
      <c r="FF226" s="175"/>
      <c r="FG226" s="175"/>
      <c r="FH226" s="175"/>
      <c r="FI226" s="175"/>
      <c r="FJ226" s="175"/>
      <c r="FK226" s="175"/>
      <c r="FL226" s="175"/>
      <c r="FM226" s="175"/>
      <c r="FN226" s="175"/>
      <c r="FO226" s="175"/>
      <c r="FP226" s="175"/>
      <c r="FQ226" s="175"/>
      <c r="FR226" s="175"/>
      <c r="FS226" s="175"/>
      <c r="FT226" s="175"/>
      <c r="FU226" s="175"/>
      <c r="FV226" s="175"/>
      <c r="FW226" s="175"/>
      <c r="FX226" s="175"/>
      <c r="FY226" s="175"/>
      <c r="FZ226" s="175"/>
      <c r="GA226" s="175"/>
      <c r="GB226" s="175"/>
      <c r="GC226" s="175"/>
      <c r="GD226" s="175"/>
      <c r="GE226" s="175"/>
      <c r="GF226" s="175"/>
      <c r="GG226" s="175"/>
      <c r="GH226" s="175"/>
      <c r="GI226" s="175"/>
      <c r="GJ226" s="175"/>
      <c r="GK226" s="175"/>
      <c r="GL226" s="175"/>
      <c r="GM226" s="175"/>
      <c r="GN226" s="175"/>
      <c r="GO226" s="175"/>
      <c r="GP226" s="175"/>
      <c r="GQ226" s="175"/>
      <c r="GR226" s="175"/>
      <c r="GS226" s="175"/>
      <c r="GT226" s="175"/>
      <c r="GU226" s="175"/>
      <c r="GV226" s="175"/>
      <c r="GW226" s="175"/>
      <c r="GX226" s="175"/>
      <c r="GY226" s="175"/>
      <c r="GZ226" s="175"/>
      <c r="HA226" s="175"/>
      <c r="HB226" s="175"/>
      <c r="HC226" s="175"/>
      <c r="HD226" s="175"/>
      <c r="HE226" s="175"/>
      <c r="HF226" s="175"/>
      <c r="HG226" s="175"/>
      <c r="HH226" s="175"/>
      <c r="HI226" s="175"/>
      <c r="HJ226" s="175"/>
      <c r="HK226" s="175"/>
      <c r="HL226" s="175"/>
      <c r="HM226" s="175"/>
      <c r="HN226" s="175"/>
      <c r="HO226" s="175"/>
      <c r="HP226" s="175"/>
      <c r="HQ226" s="175"/>
      <c r="HR226" s="175"/>
      <c r="HS226" s="175"/>
      <c r="HT226" s="175"/>
      <c r="HU226" s="175"/>
      <c r="HV226" s="175"/>
      <c r="HW226" s="175"/>
      <c r="HX226" s="175"/>
      <c r="HY226" s="175"/>
      <c r="HZ226" s="175"/>
      <c r="IA226" s="175"/>
      <c r="IB226" s="175"/>
      <c r="IC226" s="175"/>
      <c r="ID226" s="175"/>
      <c r="IE226" s="175"/>
      <c r="IF226" s="175"/>
      <c r="IG226" s="175"/>
      <c r="IH226" s="175"/>
      <c r="II226" s="175"/>
      <c r="IJ226" s="175"/>
      <c r="IK226" s="175"/>
      <c r="IL226" s="175"/>
      <c r="IM226" s="175"/>
      <c r="IN226" s="175"/>
      <c r="IO226" s="175"/>
      <c r="IP226" s="175"/>
      <c r="IQ226" s="175"/>
      <c r="IR226" s="175"/>
      <c r="IS226" s="175"/>
      <c r="IT226" s="175"/>
      <c r="IU226" s="175"/>
      <c r="IV226" s="175"/>
      <c r="IW226" s="175"/>
      <c r="IX226" s="175"/>
      <c r="IY226" s="175"/>
      <c r="IZ226" s="175"/>
      <c r="JA226" s="175"/>
      <c r="JB226" s="175"/>
      <c r="JC226" s="175"/>
      <c r="JD226" s="175"/>
      <c r="JE226" s="175"/>
      <c r="JF226" s="175"/>
      <c r="JG226" s="175"/>
      <c r="JH226" s="175"/>
      <c r="JI226" s="175"/>
      <c r="JJ226" s="175"/>
      <c r="JK226" s="175"/>
      <c r="JL226" s="175"/>
      <c r="JM226" s="175"/>
      <c r="JN226" s="175"/>
      <c r="JO226" s="175"/>
      <c r="JP226" s="175"/>
      <c r="JQ226" s="175"/>
      <c r="JR226" s="175"/>
      <c r="JS226" s="175"/>
      <c r="JT226" s="175"/>
      <c r="JU226" s="175"/>
      <c r="JV226" s="175"/>
      <c r="JW226" s="175"/>
      <c r="JX226" s="175"/>
      <c r="JY226" s="175"/>
      <c r="JZ226" s="175"/>
      <c r="KA226" s="175"/>
      <c r="KB226" s="175"/>
      <c r="KC226" s="175"/>
      <c r="KD226" s="175"/>
      <c r="KE226" s="175"/>
      <c r="KF226" s="175"/>
      <c r="KG226" s="175"/>
      <c r="KH226" s="175"/>
      <c r="KI226" s="175"/>
      <c r="KJ226" s="175"/>
      <c r="KK226" s="175"/>
      <c r="KL226" s="175"/>
      <c r="KM226" s="175"/>
      <c r="KN226" s="175"/>
      <c r="KO226" s="175"/>
      <c r="KP226" s="175"/>
      <c r="KQ226" s="175"/>
      <c r="KR226" s="175"/>
      <c r="KS226" s="175"/>
      <c r="KT226" s="175"/>
      <c r="KU226" s="175"/>
    </row>
    <row r="227" spans="1:307" x14ac:dyDescent="0.2">
      <c r="A227" s="172"/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172"/>
      <c r="AT227" s="172"/>
      <c r="AU227" s="172"/>
      <c r="AV227" s="172"/>
      <c r="AW227" s="172"/>
      <c r="AX227" s="172"/>
      <c r="AY227" s="172"/>
      <c r="AZ227" s="172"/>
      <c r="BA227" s="172"/>
      <c r="BB227" s="172"/>
      <c r="BC227" s="172"/>
      <c r="BD227" s="172"/>
      <c r="BE227" s="172"/>
      <c r="BF227" s="172"/>
      <c r="BG227" s="172"/>
      <c r="BH227" s="172"/>
      <c r="BI227" s="172"/>
      <c r="BJ227" s="172"/>
      <c r="BK227" s="172"/>
      <c r="BL227" s="172"/>
      <c r="BM227" s="172"/>
      <c r="BN227" s="172"/>
      <c r="BO227" s="172"/>
      <c r="BP227" s="172"/>
      <c r="BQ227" s="172"/>
      <c r="BR227" s="172"/>
      <c r="BS227" s="172"/>
      <c r="BT227" s="172"/>
      <c r="BU227" s="172"/>
      <c r="BV227" s="172"/>
      <c r="BW227" s="172"/>
      <c r="BX227" s="175"/>
      <c r="BY227" s="175"/>
      <c r="BZ227" s="175"/>
      <c r="CA227" s="175"/>
      <c r="CB227" s="175"/>
      <c r="CC227" s="175"/>
      <c r="CD227" s="175"/>
      <c r="CE227" s="175"/>
      <c r="CF227" s="175"/>
      <c r="CG227" s="175"/>
      <c r="CH227" s="175"/>
      <c r="CI227" s="175"/>
      <c r="CJ227" s="175"/>
      <c r="CK227" s="175"/>
      <c r="CL227" s="175"/>
      <c r="CM227" s="175"/>
      <c r="CN227" s="175"/>
      <c r="CO227" s="175"/>
      <c r="CP227" s="175"/>
      <c r="CQ227" s="175"/>
      <c r="CR227" s="175"/>
      <c r="CS227" s="175"/>
      <c r="CT227" s="175"/>
      <c r="CU227" s="175"/>
      <c r="CV227" s="175"/>
      <c r="CW227" s="175"/>
      <c r="CX227" s="175"/>
      <c r="CY227" s="175"/>
      <c r="CZ227" s="175"/>
      <c r="DA227" s="175"/>
      <c r="DB227" s="175"/>
      <c r="DC227" s="175"/>
      <c r="DD227" s="175"/>
      <c r="DE227" s="175"/>
      <c r="DF227" s="175"/>
      <c r="DG227" s="175"/>
      <c r="DH227" s="175"/>
      <c r="DI227" s="175"/>
      <c r="DJ227" s="175"/>
      <c r="DK227" s="175"/>
      <c r="DL227" s="175"/>
      <c r="DM227" s="175"/>
      <c r="DN227" s="175"/>
      <c r="DO227" s="175"/>
      <c r="DP227" s="175"/>
      <c r="DQ227" s="175"/>
      <c r="DR227" s="175"/>
      <c r="DS227" s="175"/>
      <c r="DT227" s="175"/>
      <c r="DU227" s="175"/>
      <c r="DV227" s="175"/>
      <c r="DW227" s="175"/>
      <c r="DX227" s="175"/>
      <c r="DY227" s="175"/>
      <c r="DZ227" s="175"/>
      <c r="EA227" s="175"/>
      <c r="EB227" s="175"/>
      <c r="EC227" s="175"/>
      <c r="ED227" s="175"/>
      <c r="EE227" s="175"/>
      <c r="EF227" s="175"/>
      <c r="EG227" s="175"/>
      <c r="EH227" s="175"/>
      <c r="EI227" s="175"/>
      <c r="EJ227" s="175"/>
      <c r="EK227" s="175"/>
      <c r="EL227" s="175"/>
      <c r="EM227" s="175"/>
      <c r="EN227" s="175"/>
      <c r="EO227" s="175"/>
      <c r="EP227" s="175"/>
      <c r="EQ227" s="175"/>
      <c r="ER227" s="175"/>
      <c r="ES227" s="175"/>
      <c r="ET227" s="175"/>
      <c r="EU227" s="175"/>
      <c r="EV227" s="175"/>
      <c r="EW227" s="175"/>
      <c r="EX227" s="175"/>
      <c r="EY227" s="175"/>
      <c r="EZ227" s="175"/>
      <c r="FA227" s="175"/>
      <c r="FB227" s="175"/>
      <c r="FC227" s="175"/>
      <c r="FD227" s="175"/>
      <c r="FE227" s="175"/>
      <c r="FF227" s="175"/>
      <c r="FG227" s="175"/>
      <c r="FH227" s="175"/>
      <c r="FI227" s="175"/>
      <c r="FJ227" s="175"/>
      <c r="FK227" s="175"/>
      <c r="FL227" s="175"/>
      <c r="FM227" s="175"/>
      <c r="FN227" s="175"/>
      <c r="FO227" s="175"/>
      <c r="FP227" s="175"/>
      <c r="FQ227" s="175"/>
      <c r="FR227" s="175"/>
      <c r="FS227" s="175"/>
      <c r="FT227" s="175"/>
      <c r="FU227" s="175"/>
      <c r="FV227" s="175"/>
      <c r="FW227" s="175"/>
      <c r="FX227" s="175"/>
      <c r="FY227" s="175"/>
      <c r="FZ227" s="175"/>
      <c r="GA227" s="175"/>
      <c r="GB227" s="175"/>
      <c r="GC227" s="175"/>
      <c r="GD227" s="175"/>
      <c r="GE227" s="175"/>
      <c r="GF227" s="175"/>
      <c r="GG227" s="175"/>
      <c r="GH227" s="175"/>
      <c r="GI227" s="175"/>
      <c r="GJ227" s="175"/>
      <c r="GK227" s="175"/>
      <c r="GL227" s="175"/>
      <c r="GM227" s="175"/>
      <c r="GN227" s="175"/>
      <c r="GO227" s="175"/>
      <c r="GP227" s="175"/>
      <c r="GQ227" s="175"/>
      <c r="GR227" s="175"/>
      <c r="GS227" s="175"/>
      <c r="GT227" s="175"/>
      <c r="GU227" s="175"/>
      <c r="GV227" s="175"/>
      <c r="GW227" s="175"/>
      <c r="GX227" s="175"/>
      <c r="GY227" s="175"/>
      <c r="GZ227" s="175"/>
      <c r="HA227" s="175"/>
      <c r="HB227" s="175"/>
      <c r="HC227" s="175"/>
      <c r="HD227" s="175"/>
      <c r="HE227" s="175"/>
      <c r="HF227" s="175"/>
      <c r="HG227" s="175"/>
      <c r="HH227" s="175"/>
      <c r="HI227" s="175"/>
      <c r="HJ227" s="175"/>
      <c r="HK227" s="175"/>
      <c r="HL227" s="175"/>
      <c r="HM227" s="175"/>
      <c r="HN227" s="175"/>
      <c r="HO227" s="175"/>
      <c r="HP227" s="175"/>
      <c r="HQ227" s="175"/>
      <c r="HR227" s="175"/>
      <c r="HS227" s="175"/>
      <c r="HT227" s="175"/>
      <c r="HU227" s="175"/>
      <c r="HV227" s="175"/>
      <c r="HW227" s="175"/>
      <c r="HX227" s="175"/>
      <c r="HY227" s="175"/>
      <c r="HZ227" s="175"/>
      <c r="IA227" s="175"/>
      <c r="IB227" s="175"/>
      <c r="IC227" s="175"/>
      <c r="ID227" s="175"/>
      <c r="IE227" s="175"/>
      <c r="IF227" s="175"/>
      <c r="IG227" s="175"/>
      <c r="IH227" s="175"/>
      <c r="II227" s="175"/>
      <c r="IJ227" s="175"/>
      <c r="IK227" s="175"/>
      <c r="IL227" s="175"/>
      <c r="IM227" s="175"/>
      <c r="IN227" s="175"/>
      <c r="IO227" s="175"/>
      <c r="IP227" s="175"/>
      <c r="IQ227" s="175"/>
      <c r="IR227" s="175"/>
      <c r="IS227" s="175"/>
      <c r="IT227" s="175"/>
      <c r="IU227" s="175"/>
      <c r="IV227" s="175"/>
      <c r="IW227" s="175"/>
      <c r="IX227" s="175"/>
      <c r="IY227" s="175"/>
      <c r="IZ227" s="175"/>
      <c r="JA227" s="175"/>
      <c r="JB227" s="175"/>
      <c r="JC227" s="175"/>
      <c r="JD227" s="175"/>
      <c r="JE227" s="175"/>
      <c r="JF227" s="175"/>
      <c r="JG227" s="175"/>
      <c r="JH227" s="175"/>
      <c r="JI227" s="175"/>
      <c r="JJ227" s="175"/>
      <c r="JK227" s="175"/>
      <c r="JL227" s="175"/>
      <c r="JM227" s="175"/>
      <c r="JN227" s="175"/>
      <c r="JO227" s="175"/>
      <c r="JP227" s="175"/>
      <c r="JQ227" s="175"/>
      <c r="JR227" s="175"/>
      <c r="JS227" s="175"/>
      <c r="JT227" s="175"/>
      <c r="JU227" s="175"/>
      <c r="JV227" s="175"/>
      <c r="JW227" s="175"/>
      <c r="JX227" s="175"/>
      <c r="JY227" s="175"/>
      <c r="JZ227" s="175"/>
      <c r="KA227" s="175"/>
      <c r="KB227" s="175"/>
      <c r="KC227" s="175"/>
      <c r="KD227" s="175"/>
      <c r="KE227" s="175"/>
      <c r="KF227" s="175"/>
      <c r="KG227" s="175"/>
      <c r="KH227" s="175"/>
      <c r="KI227" s="175"/>
      <c r="KJ227" s="175"/>
      <c r="KK227" s="175"/>
      <c r="KL227" s="175"/>
      <c r="KM227" s="175"/>
      <c r="KN227" s="175"/>
      <c r="KO227" s="175"/>
      <c r="KP227" s="175"/>
      <c r="KQ227" s="175"/>
      <c r="KR227" s="175"/>
      <c r="KS227" s="175"/>
      <c r="KT227" s="175"/>
      <c r="KU227" s="175"/>
    </row>
    <row r="228" spans="1:307" x14ac:dyDescent="0.2">
      <c r="A228" s="172"/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  <c r="AP228" s="172"/>
      <c r="AQ228" s="172"/>
      <c r="AR228" s="172"/>
      <c r="AS228" s="172"/>
      <c r="AT228" s="172"/>
      <c r="AU228" s="172"/>
      <c r="AV228" s="172"/>
      <c r="AW228" s="172"/>
      <c r="AX228" s="172"/>
      <c r="AY228" s="172"/>
      <c r="AZ228" s="172"/>
      <c r="BA228" s="172"/>
      <c r="BB228" s="172"/>
      <c r="BC228" s="172"/>
      <c r="BD228" s="172"/>
      <c r="BE228" s="172"/>
      <c r="BF228" s="172"/>
      <c r="BG228" s="172"/>
      <c r="BH228" s="172"/>
      <c r="BI228" s="172"/>
      <c r="BJ228" s="172"/>
      <c r="BK228" s="172"/>
      <c r="BL228" s="172"/>
      <c r="BM228" s="172"/>
      <c r="BN228" s="172"/>
      <c r="BO228" s="172"/>
      <c r="BP228" s="172"/>
      <c r="BQ228" s="172"/>
      <c r="BR228" s="172"/>
      <c r="BS228" s="172"/>
      <c r="BT228" s="172"/>
      <c r="BU228" s="172"/>
      <c r="BV228" s="172"/>
      <c r="BW228" s="172"/>
      <c r="BX228" s="175"/>
      <c r="BY228" s="175"/>
      <c r="BZ228" s="175"/>
      <c r="CA228" s="175"/>
      <c r="CB228" s="175"/>
      <c r="CC228" s="175"/>
      <c r="CD228" s="175"/>
      <c r="CE228" s="175"/>
      <c r="CF228" s="175"/>
      <c r="CG228" s="175"/>
      <c r="CH228" s="175"/>
      <c r="CI228" s="175"/>
      <c r="CJ228" s="175"/>
      <c r="CK228" s="175"/>
      <c r="CL228" s="175"/>
      <c r="CM228" s="175"/>
      <c r="CN228" s="175"/>
      <c r="CO228" s="175"/>
      <c r="CP228" s="175"/>
      <c r="CQ228" s="175"/>
      <c r="CR228" s="175"/>
      <c r="CS228" s="175"/>
      <c r="CT228" s="175"/>
      <c r="CU228" s="175"/>
      <c r="CV228" s="175"/>
      <c r="CW228" s="175"/>
      <c r="CX228" s="175"/>
      <c r="CY228" s="175"/>
      <c r="CZ228" s="175"/>
      <c r="DA228" s="175"/>
      <c r="DB228" s="175"/>
      <c r="DC228" s="175"/>
      <c r="DD228" s="175"/>
      <c r="DE228" s="175"/>
      <c r="DF228" s="175"/>
      <c r="DG228" s="175"/>
      <c r="DH228" s="175"/>
      <c r="DI228" s="175"/>
      <c r="DJ228" s="175"/>
      <c r="DK228" s="175"/>
      <c r="DL228" s="175"/>
      <c r="DM228" s="175"/>
      <c r="DN228" s="175"/>
      <c r="DO228" s="175"/>
      <c r="DP228" s="175"/>
      <c r="DQ228" s="175"/>
      <c r="DR228" s="175"/>
      <c r="DS228" s="175"/>
      <c r="DT228" s="175"/>
      <c r="DU228" s="175"/>
      <c r="DV228" s="175"/>
      <c r="DW228" s="175"/>
      <c r="DX228" s="175"/>
      <c r="DY228" s="175"/>
      <c r="DZ228" s="175"/>
      <c r="EA228" s="175"/>
      <c r="EB228" s="175"/>
      <c r="EC228" s="175"/>
      <c r="ED228" s="175"/>
      <c r="EE228" s="175"/>
      <c r="EF228" s="175"/>
      <c r="EG228" s="175"/>
      <c r="EH228" s="175"/>
      <c r="EI228" s="175"/>
      <c r="EJ228" s="175"/>
      <c r="EK228" s="175"/>
      <c r="EL228" s="175"/>
      <c r="EM228" s="175"/>
      <c r="EN228" s="175"/>
      <c r="EO228" s="175"/>
      <c r="EP228" s="175"/>
      <c r="EQ228" s="175"/>
      <c r="ER228" s="175"/>
      <c r="ES228" s="175"/>
      <c r="ET228" s="175"/>
      <c r="EU228" s="175"/>
      <c r="EV228" s="175"/>
      <c r="EW228" s="175"/>
      <c r="EX228" s="175"/>
      <c r="EY228" s="175"/>
      <c r="EZ228" s="175"/>
      <c r="FA228" s="175"/>
      <c r="FB228" s="175"/>
      <c r="FC228" s="175"/>
      <c r="FD228" s="175"/>
      <c r="FE228" s="175"/>
      <c r="FF228" s="175"/>
      <c r="FG228" s="175"/>
      <c r="FH228" s="175"/>
      <c r="FI228" s="175"/>
      <c r="FJ228" s="175"/>
      <c r="FK228" s="175"/>
      <c r="FL228" s="175"/>
      <c r="FM228" s="175"/>
      <c r="FN228" s="175"/>
      <c r="FO228" s="175"/>
      <c r="FP228" s="175"/>
      <c r="FQ228" s="175"/>
      <c r="FR228" s="175"/>
      <c r="FS228" s="175"/>
      <c r="FT228" s="175"/>
      <c r="FU228" s="175"/>
      <c r="FV228" s="175"/>
      <c r="FW228" s="175"/>
      <c r="FX228" s="175"/>
      <c r="FY228" s="175"/>
      <c r="FZ228" s="175"/>
      <c r="GA228" s="175"/>
      <c r="GB228" s="175"/>
      <c r="GC228" s="175"/>
      <c r="GD228" s="175"/>
      <c r="GE228" s="175"/>
      <c r="GF228" s="175"/>
      <c r="GG228" s="175"/>
      <c r="GH228" s="175"/>
      <c r="GI228" s="175"/>
      <c r="GJ228" s="175"/>
      <c r="GK228" s="175"/>
      <c r="GL228" s="175"/>
      <c r="GM228" s="175"/>
      <c r="GN228" s="175"/>
      <c r="GO228" s="175"/>
      <c r="GP228" s="175"/>
      <c r="GQ228" s="175"/>
      <c r="GR228" s="175"/>
      <c r="GS228" s="175"/>
      <c r="GT228" s="175"/>
      <c r="GU228" s="175"/>
      <c r="GV228" s="175"/>
      <c r="GW228" s="175"/>
      <c r="GX228" s="175"/>
      <c r="GY228" s="175"/>
      <c r="GZ228" s="175"/>
      <c r="HA228" s="175"/>
      <c r="HB228" s="175"/>
      <c r="HC228" s="175"/>
      <c r="HD228" s="175"/>
      <c r="HE228" s="175"/>
      <c r="HF228" s="175"/>
      <c r="HG228" s="175"/>
      <c r="HH228" s="175"/>
      <c r="HI228" s="175"/>
      <c r="HJ228" s="175"/>
      <c r="HK228" s="175"/>
      <c r="HL228" s="175"/>
      <c r="HM228" s="175"/>
      <c r="HN228" s="175"/>
      <c r="HO228" s="175"/>
      <c r="HP228" s="175"/>
      <c r="HQ228" s="175"/>
      <c r="HR228" s="175"/>
      <c r="HS228" s="175"/>
      <c r="HT228" s="175"/>
      <c r="HU228" s="175"/>
      <c r="HV228" s="175"/>
      <c r="HW228" s="175"/>
      <c r="HX228" s="175"/>
      <c r="HY228" s="175"/>
      <c r="HZ228" s="175"/>
      <c r="IA228" s="175"/>
      <c r="IB228" s="175"/>
      <c r="IC228" s="175"/>
      <c r="ID228" s="175"/>
      <c r="IE228" s="175"/>
      <c r="IF228" s="175"/>
      <c r="IG228" s="175"/>
      <c r="IH228" s="175"/>
      <c r="II228" s="175"/>
      <c r="IJ228" s="175"/>
      <c r="IK228" s="175"/>
      <c r="IL228" s="175"/>
      <c r="IM228" s="175"/>
      <c r="IN228" s="175"/>
      <c r="IO228" s="175"/>
      <c r="IP228" s="175"/>
      <c r="IQ228" s="175"/>
      <c r="IR228" s="175"/>
      <c r="IS228" s="175"/>
      <c r="IT228" s="175"/>
      <c r="IU228" s="175"/>
      <c r="IV228" s="175"/>
      <c r="IW228" s="175"/>
      <c r="IX228" s="175"/>
      <c r="IY228" s="175"/>
      <c r="IZ228" s="175"/>
      <c r="JA228" s="175"/>
      <c r="JB228" s="175"/>
      <c r="JC228" s="175"/>
      <c r="JD228" s="175"/>
      <c r="JE228" s="175"/>
      <c r="JF228" s="175"/>
      <c r="JG228" s="175"/>
      <c r="JH228" s="175"/>
      <c r="JI228" s="175"/>
      <c r="JJ228" s="175"/>
      <c r="JK228" s="175"/>
      <c r="JL228" s="175"/>
      <c r="JM228" s="175"/>
      <c r="JN228" s="175"/>
      <c r="JO228" s="175"/>
      <c r="JP228" s="175"/>
      <c r="JQ228" s="175"/>
      <c r="JR228" s="175"/>
      <c r="JS228" s="175"/>
      <c r="JT228" s="175"/>
      <c r="JU228" s="175"/>
      <c r="JV228" s="175"/>
      <c r="JW228" s="175"/>
      <c r="JX228" s="175"/>
      <c r="JY228" s="175"/>
      <c r="JZ228" s="175"/>
      <c r="KA228" s="175"/>
      <c r="KB228" s="175"/>
      <c r="KC228" s="175"/>
      <c r="KD228" s="175"/>
      <c r="KE228" s="175"/>
      <c r="KF228" s="175"/>
      <c r="KG228" s="175"/>
      <c r="KH228" s="175"/>
      <c r="KI228" s="175"/>
      <c r="KJ228" s="175"/>
      <c r="KK228" s="175"/>
      <c r="KL228" s="175"/>
      <c r="KM228" s="175"/>
      <c r="KN228" s="175"/>
      <c r="KO228" s="175"/>
      <c r="KP228" s="175"/>
      <c r="KQ228" s="175"/>
      <c r="KR228" s="175"/>
      <c r="KS228" s="175"/>
      <c r="KT228" s="175"/>
      <c r="KU228" s="175"/>
    </row>
    <row r="229" spans="1:307" x14ac:dyDescent="0.2">
      <c r="A229" s="172"/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  <c r="AP229" s="172"/>
      <c r="AQ229" s="172"/>
      <c r="AR229" s="172"/>
      <c r="AS229" s="172"/>
      <c r="AT229" s="172"/>
      <c r="AU229" s="172"/>
      <c r="AV229" s="172"/>
      <c r="AW229" s="172"/>
      <c r="AX229" s="172"/>
      <c r="AY229" s="172"/>
      <c r="AZ229" s="172"/>
      <c r="BA229" s="172"/>
      <c r="BB229" s="172"/>
      <c r="BC229" s="172"/>
      <c r="BD229" s="172"/>
      <c r="BE229" s="172"/>
      <c r="BF229" s="172"/>
      <c r="BG229" s="172"/>
      <c r="BH229" s="172"/>
      <c r="BI229" s="172"/>
      <c r="BJ229" s="172"/>
      <c r="BK229" s="172"/>
      <c r="BL229" s="172"/>
      <c r="BM229" s="172"/>
      <c r="BN229" s="172"/>
      <c r="BO229" s="172"/>
      <c r="BP229" s="172"/>
      <c r="BQ229" s="172"/>
      <c r="BR229" s="172"/>
      <c r="BS229" s="172"/>
      <c r="BT229" s="172"/>
      <c r="BU229" s="172"/>
      <c r="BV229" s="172"/>
      <c r="BW229" s="172"/>
      <c r="BX229" s="175"/>
      <c r="BY229" s="175"/>
      <c r="BZ229" s="175"/>
      <c r="CA229" s="175"/>
      <c r="CB229" s="175"/>
      <c r="CC229" s="175"/>
      <c r="CD229" s="175"/>
      <c r="CE229" s="175"/>
      <c r="CF229" s="175"/>
      <c r="CG229" s="175"/>
      <c r="CH229" s="175"/>
      <c r="CI229" s="175"/>
      <c r="CJ229" s="175"/>
      <c r="CK229" s="175"/>
      <c r="CL229" s="175"/>
      <c r="CM229" s="175"/>
      <c r="CN229" s="175"/>
      <c r="CO229" s="175"/>
      <c r="CP229" s="175"/>
      <c r="CQ229" s="175"/>
      <c r="CR229" s="175"/>
      <c r="CS229" s="175"/>
      <c r="CT229" s="175"/>
      <c r="CU229" s="175"/>
      <c r="CV229" s="175"/>
      <c r="CW229" s="175"/>
      <c r="CX229" s="175"/>
      <c r="CY229" s="175"/>
      <c r="CZ229" s="175"/>
      <c r="DA229" s="175"/>
      <c r="DB229" s="175"/>
      <c r="DC229" s="175"/>
      <c r="DD229" s="175"/>
      <c r="DE229" s="175"/>
      <c r="DF229" s="175"/>
      <c r="DG229" s="175"/>
      <c r="DH229" s="175"/>
      <c r="DI229" s="175"/>
      <c r="DJ229" s="175"/>
      <c r="DK229" s="175"/>
      <c r="DL229" s="175"/>
      <c r="DM229" s="175"/>
      <c r="DN229" s="175"/>
      <c r="DO229" s="175"/>
      <c r="DP229" s="175"/>
      <c r="DQ229" s="175"/>
      <c r="DR229" s="175"/>
      <c r="DS229" s="175"/>
      <c r="DT229" s="175"/>
      <c r="DU229" s="175"/>
      <c r="DV229" s="175"/>
      <c r="DW229" s="175"/>
      <c r="DX229" s="175"/>
      <c r="DY229" s="175"/>
      <c r="DZ229" s="175"/>
      <c r="EA229" s="175"/>
      <c r="EB229" s="175"/>
      <c r="EC229" s="175"/>
      <c r="ED229" s="175"/>
      <c r="EE229" s="175"/>
      <c r="EF229" s="175"/>
      <c r="EG229" s="175"/>
      <c r="EH229" s="175"/>
      <c r="EI229" s="175"/>
      <c r="EJ229" s="175"/>
      <c r="EK229" s="175"/>
      <c r="EL229" s="175"/>
      <c r="EM229" s="175"/>
      <c r="EN229" s="175"/>
      <c r="EO229" s="175"/>
      <c r="EP229" s="175"/>
      <c r="EQ229" s="175"/>
      <c r="ER229" s="175"/>
      <c r="ES229" s="175"/>
      <c r="ET229" s="175"/>
      <c r="EU229" s="175"/>
      <c r="EV229" s="175"/>
      <c r="EW229" s="175"/>
      <c r="EX229" s="175"/>
      <c r="EY229" s="175"/>
      <c r="EZ229" s="175"/>
      <c r="FA229" s="175"/>
      <c r="FB229" s="175"/>
      <c r="FC229" s="175"/>
      <c r="FD229" s="175"/>
      <c r="FE229" s="175"/>
      <c r="FF229" s="175"/>
      <c r="FG229" s="175"/>
      <c r="FH229" s="175"/>
      <c r="FI229" s="175"/>
      <c r="FJ229" s="175"/>
      <c r="FK229" s="175"/>
      <c r="FL229" s="175"/>
      <c r="FM229" s="175"/>
      <c r="FN229" s="175"/>
      <c r="FO229" s="175"/>
      <c r="FP229" s="175"/>
      <c r="FQ229" s="175"/>
      <c r="FR229" s="175"/>
      <c r="FS229" s="175"/>
      <c r="FT229" s="175"/>
      <c r="FU229" s="175"/>
      <c r="FV229" s="175"/>
      <c r="FW229" s="175"/>
      <c r="FX229" s="175"/>
      <c r="FY229" s="175"/>
      <c r="FZ229" s="175"/>
      <c r="GA229" s="175"/>
      <c r="GB229" s="175"/>
      <c r="GC229" s="175"/>
      <c r="GD229" s="175"/>
      <c r="GE229" s="175"/>
      <c r="GF229" s="175"/>
      <c r="GG229" s="175"/>
      <c r="GH229" s="175"/>
      <c r="GI229" s="175"/>
      <c r="GJ229" s="175"/>
      <c r="GK229" s="175"/>
      <c r="GL229" s="175"/>
      <c r="GM229" s="175"/>
      <c r="GN229" s="175"/>
      <c r="GO229" s="175"/>
      <c r="GP229" s="175"/>
      <c r="GQ229" s="175"/>
      <c r="GR229" s="175"/>
      <c r="GS229" s="175"/>
      <c r="GT229" s="175"/>
      <c r="GU229" s="175"/>
      <c r="GV229" s="175"/>
      <c r="GW229" s="175"/>
      <c r="GX229" s="175"/>
      <c r="GY229" s="175"/>
      <c r="GZ229" s="175"/>
      <c r="HA229" s="175"/>
      <c r="HB229" s="175"/>
      <c r="HC229" s="175"/>
      <c r="HD229" s="175"/>
      <c r="HE229" s="175"/>
      <c r="HF229" s="175"/>
      <c r="HG229" s="175"/>
      <c r="HH229" s="175"/>
      <c r="HI229" s="175"/>
      <c r="HJ229" s="175"/>
      <c r="HK229" s="175"/>
      <c r="HL229" s="175"/>
      <c r="HM229" s="175"/>
      <c r="HN229" s="175"/>
      <c r="HO229" s="175"/>
      <c r="HP229" s="175"/>
      <c r="HQ229" s="175"/>
      <c r="HR229" s="175"/>
      <c r="HS229" s="175"/>
      <c r="HT229" s="175"/>
      <c r="HU229" s="175"/>
      <c r="HV229" s="175"/>
      <c r="HW229" s="175"/>
      <c r="HX229" s="175"/>
      <c r="HY229" s="175"/>
      <c r="HZ229" s="175"/>
      <c r="IA229" s="175"/>
      <c r="IB229" s="175"/>
      <c r="IC229" s="175"/>
      <c r="ID229" s="175"/>
      <c r="IE229" s="175"/>
      <c r="IF229" s="175"/>
      <c r="IG229" s="175"/>
      <c r="IH229" s="175"/>
      <c r="II229" s="175"/>
      <c r="IJ229" s="175"/>
      <c r="IK229" s="175"/>
      <c r="IL229" s="175"/>
      <c r="IM229" s="175"/>
      <c r="IN229" s="175"/>
      <c r="IO229" s="175"/>
      <c r="IP229" s="175"/>
      <c r="IQ229" s="175"/>
      <c r="IR229" s="175"/>
      <c r="IS229" s="175"/>
      <c r="IT229" s="175"/>
      <c r="IU229" s="175"/>
      <c r="IV229" s="175"/>
      <c r="IW229" s="175"/>
      <c r="IX229" s="175"/>
      <c r="IY229" s="175"/>
      <c r="IZ229" s="175"/>
      <c r="JA229" s="175"/>
      <c r="JB229" s="175"/>
      <c r="JC229" s="175"/>
      <c r="JD229" s="175"/>
      <c r="JE229" s="175"/>
      <c r="JF229" s="175"/>
      <c r="JG229" s="175"/>
      <c r="JH229" s="175"/>
      <c r="JI229" s="175"/>
      <c r="JJ229" s="175"/>
      <c r="JK229" s="175"/>
      <c r="JL229" s="175"/>
      <c r="JM229" s="175"/>
      <c r="JN229" s="175"/>
      <c r="JO229" s="175"/>
      <c r="JP229" s="175"/>
      <c r="JQ229" s="175"/>
      <c r="JR229" s="175"/>
      <c r="JS229" s="175"/>
      <c r="JT229" s="175"/>
      <c r="JU229" s="175"/>
      <c r="JV229" s="175"/>
      <c r="JW229" s="175"/>
      <c r="JX229" s="175"/>
      <c r="JY229" s="175"/>
      <c r="JZ229" s="175"/>
      <c r="KA229" s="175"/>
      <c r="KB229" s="175"/>
      <c r="KC229" s="175"/>
      <c r="KD229" s="175"/>
      <c r="KE229" s="175"/>
      <c r="KF229" s="175"/>
      <c r="KG229" s="175"/>
      <c r="KH229" s="175"/>
      <c r="KI229" s="175"/>
      <c r="KJ229" s="175"/>
      <c r="KK229" s="175"/>
      <c r="KL229" s="175"/>
      <c r="KM229" s="175"/>
      <c r="KN229" s="175"/>
      <c r="KO229" s="175"/>
      <c r="KP229" s="175"/>
      <c r="KQ229" s="175"/>
      <c r="KR229" s="175"/>
      <c r="KS229" s="175"/>
      <c r="KT229" s="175"/>
      <c r="KU229" s="175"/>
    </row>
    <row r="230" spans="1:307" x14ac:dyDescent="0.2">
      <c r="A230" s="172"/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  <c r="BC230" s="172"/>
      <c r="BD230" s="172"/>
      <c r="BE230" s="172"/>
      <c r="BF230" s="172"/>
      <c r="BG230" s="172"/>
      <c r="BH230" s="172"/>
      <c r="BI230" s="172"/>
      <c r="BJ230" s="172"/>
      <c r="BK230" s="172"/>
      <c r="BL230" s="172"/>
      <c r="BM230" s="172"/>
      <c r="BN230" s="172"/>
      <c r="BO230" s="172"/>
      <c r="BP230" s="172"/>
      <c r="BQ230" s="172"/>
      <c r="BR230" s="172"/>
      <c r="BS230" s="172"/>
      <c r="BT230" s="172"/>
      <c r="BU230" s="172"/>
      <c r="BV230" s="172"/>
      <c r="BW230" s="172"/>
      <c r="BX230" s="175"/>
      <c r="BY230" s="175"/>
      <c r="BZ230" s="175"/>
      <c r="CA230" s="175"/>
      <c r="CB230" s="175"/>
      <c r="CC230" s="175"/>
      <c r="CD230" s="175"/>
      <c r="CE230" s="175"/>
      <c r="CF230" s="175"/>
      <c r="CG230" s="175"/>
      <c r="CH230" s="175"/>
      <c r="CI230" s="175"/>
      <c r="CJ230" s="175"/>
      <c r="CK230" s="175"/>
      <c r="CL230" s="175"/>
      <c r="CM230" s="175"/>
      <c r="CN230" s="175"/>
      <c r="CO230" s="175"/>
      <c r="CP230" s="175"/>
      <c r="CQ230" s="175"/>
      <c r="CR230" s="175"/>
      <c r="CS230" s="175"/>
      <c r="CT230" s="175"/>
      <c r="CU230" s="175"/>
      <c r="CV230" s="175"/>
      <c r="CW230" s="175"/>
      <c r="CX230" s="175"/>
      <c r="CY230" s="175"/>
      <c r="CZ230" s="175"/>
      <c r="DA230" s="175"/>
      <c r="DB230" s="175"/>
      <c r="DC230" s="175"/>
      <c r="DD230" s="175"/>
      <c r="DE230" s="175"/>
      <c r="DF230" s="175"/>
      <c r="DG230" s="175"/>
      <c r="DH230" s="175"/>
      <c r="DI230" s="175"/>
      <c r="DJ230" s="175"/>
      <c r="DK230" s="175"/>
      <c r="DL230" s="175"/>
      <c r="DM230" s="175"/>
      <c r="DN230" s="175"/>
      <c r="DO230" s="175"/>
      <c r="DP230" s="175"/>
      <c r="DQ230" s="175"/>
      <c r="DR230" s="175"/>
      <c r="DS230" s="175"/>
      <c r="DT230" s="175"/>
      <c r="DU230" s="175"/>
      <c r="DV230" s="175"/>
      <c r="DW230" s="175"/>
      <c r="DX230" s="175"/>
      <c r="DY230" s="175"/>
      <c r="DZ230" s="175"/>
      <c r="EA230" s="175"/>
      <c r="EB230" s="175"/>
      <c r="EC230" s="175"/>
      <c r="ED230" s="175"/>
      <c r="EE230" s="175"/>
      <c r="EF230" s="175"/>
      <c r="EG230" s="175"/>
      <c r="EH230" s="175"/>
      <c r="EI230" s="175"/>
      <c r="EJ230" s="175"/>
      <c r="EK230" s="175"/>
      <c r="EL230" s="175"/>
      <c r="EM230" s="175"/>
      <c r="EN230" s="175"/>
      <c r="EO230" s="175"/>
      <c r="EP230" s="175"/>
      <c r="EQ230" s="175"/>
      <c r="ER230" s="175"/>
      <c r="ES230" s="175"/>
      <c r="ET230" s="175"/>
      <c r="EU230" s="175"/>
      <c r="EV230" s="175"/>
      <c r="EW230" s="175"/>
      <c r="EX230" s="175"/>
      <c r="EY230" s="175"/>
      <c r="EZ230" s="175"/>
      <c r="FA230" s="175"/>
      <c r="FB230" s="175"/>
      <c r="FC230" s="175"/>
      <c r="FD230" s="175"/>
      <c r="FE230" s="175"/>
      <c r="FF230" s="175"/>
      <c r="FG230" s="175"/>
      <c r="FH230" s="175"/>
      <c r="FI230" s="175"/>
      <c r="FJ230" s="175"/>
      <c r="FK230" s="175"/>
      <c r="FL230" s="175"/>
      <c r="FM230" s="175"/>
      <c r="FN230" s="175"/>
      <c r="FO230" s="175"/>
      <c r="FP230" s="175"/>
      <c r="FQ230" s="175"/>
      <c r="FR230" s="175"/>
      <c r="FS230" s="175"/>
      <c r="FT230" s="175"/>
      <c r="FU230" s="175"/>
      <c r="FV230" s="175"/>
      <c r="FW230" s="175"/>
      <c r="FX230" s="175"/>
      <c r="FY230" s="175"/>
      <c r="FZ230" s="175"/>
      <c r="GA230" s="175"/>
      <c r="GB230" s="175"/>
      <c r="GC230" s="175"/>
      <c r="GD230" s="175"/>
      <c r="GE230" s="175"/>
      <c r="GF230" s="175"/>
      <c r="GG230" s="175"/>
      <c r="GH230" s="175"/>
      <c r="GI230" s="175"/>
      <c r="GJ230" s="175"/>
      <c r="GK230" s="175"/>
      <c r="GL230" s="175"/>
      <c r="GM230" s="175"/>
      <c r="GN230" s="175"/>
      <c r="GO230" s="175"/>
      <c r="GP230" s="175"/>
      <c r="GQ230" s="175"/>
      <c r="GR230" s="175"/>
      <c r="GS230" s="175"/>
      <c r="GT230" s="175"/>
      <c r="GU230" s="175"/>
      <c r="GV230" s="175"/>
      <c r="GW230" s="175"/>
      <c r="GX230" s="175"/>
      <c r="GY230" s="175"/>
      <c r="GZ230" s="175"/>
      <c r="HA230" s="175"/>
      <c r="HB230" s="175"/>
      <c r="HC230" s="175"/>
      <c r="HD230" s="175"/>
      <c r="HE230" s="175"/>
      <c r="HF230" s="175"/>
      <c r="HG230" s="175"/>
      <c r="HH230" s="175"/>
      <c r="HI230" s="175"/>
      <c r="HJ230" s="175"/>
      <c r="HK230" s="175"/>
      <c r="HL230" s="175"/>
      <c r="HM230" s="175"/>
      <c r="HN230" s="175"/>
      <c r="HO230" s="175"/>
      <c r="HP230" s="175"/>
      <c r="HQ230" s="175"/>
      <c r="HR230" s="175"/>
      <c r="HS230" s="175"/>
      <c r="HT230" s="175"/>
      <c r="HU230" s="175"/>
      <c r="HV230" s="175"/>
      <c r="HW230" s="175"/>
      <c r="HX230" s="175"/>
      <c r="HY230" s="175"/>
      <c r="HZ230" s="175"/>
      <c r="IA230" s="175"/>
      <c r="IB230" s="175"/>
      <c r="IC230" s="175"/>
      <c r="ID230" s="175"/>
      <c r="IE230" s="175"/>
      <c r="IF230" s="175"/>
      <c r="IG230" s="175"/>
      <c r="IH230" s="175"/>
      <c r="II230" s="175"/>
      <c r="IJ230" s="175"/>
      <c r="IK230" s="175"/>
      <c r="IL230" s="175"/>
      <c r="IM230" s="175"/>
      <c r="IN230" s="175"/>
      <c r="IO230" s="175"/>
      <c r="IP230" s="175"/>
      <c r="IQ230" s="175"/>
      <c r="IR230" s="175"/>
      <c r="IS230" s="175"/>
      <c r="IT230" s="175"/>
      <c r="IU230" s="175"/>
      <c r="IV230" s="175"/>
      <c r="IW230" s="175"/>
      <c r="IX230" s="175"/>
      <c r="IY230" s="175"/>
      <c r="IZ230" s="175"/>
      <c r="JA230" s="175"/>
      <c r="JB230" s="175"/>
      <c r="JC230" s="175"/>
      <c r="JD230" s="175"/>
      <c r="JE230" s="175"/>
      <c r="JF230" s="175"/>
      <c r="JG230" s="175"/>
      <c r="JH230" s="175"/>
      <c r="JI230" s="175"/>
      <c r="JJ230" s="175"/>
      <c r="JK230" s="175"/>
      <c r="JL230" s="175"/>
      <c r="JM230" s="175"/>
      <c r="JN230" s="175"/>
      <c r="JO230" s="175"/>
      <c r="JP230" s="175"/>
      <c r="JQ230" s="175"/>
      <c r="JR230" s="175"/>
      <c r="JS230" s="175"/>
      <c r="JT230" s="175"/>
      <c r="JU230" s="175"/>
      <c r="JV230" s="175"/>
      <c r="JW230" s="175"/>
      <c r="JX230" s="175"/>
      <c r="JY230" s="175"/>
      <c r="JZ230" s="175"/>
      <c r="KA230" s="175"/>
      <c r="KB230" s="175"/>
      <c r="KC230" s="175"/>
      <c r="KD230" s="175"/>
      <c r="KE230" s="175"/>
      <c r="KF230" s="175"/>
      <c r="KG230" s="175"/>
      <c r="KH230" s="175"/>
      <c r="KI230" s="175"/>
      <c r="KJ230" s="175"/>
      <c r="KK230" s="175"/>
      <c r="KL230" s="175"/>
      <c r="KM230" s="175"/>
      <c r="KN230" s="175"/>
      <c r="KO230" s="175"/>
      <c r="KP230" s="175"/>
      <c r="KQ230" s="175"/>
      <c r="KR230" s="175"/>
      <c r="KS230" s="175"/>
      <c r="KT230" s="175"/>
      <c r="KU230" s="175"/>
    </row>
    <row r="231" spans="1:307" x14ac:dyDescent="0.2">
      <c r="A231" s="172"/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172"/>
      <c r="AT231" s="172"/>
      <c r="AU231" s="172"/>
      <c r="AV231" s="172"/>
      <c r="AW231" s="172"/>
      <c r="AX231" s="172"/>
      <c r="AY231" s="172"/>
      <c r="AZ231" s="172"/>
      <c r="BA231" s="172"/>
      <c r="BB231" s="172"/>
      <c r="BC231" s="172"/>
      <c r="BD231" s="172"/>
      <c r="BE231" s="172"/>
      <c r="BF231" s="172"/>
      <c r="BG231" s="172"/>
      <c r="BH231" s="172"/>
      <c r="BI231" s="172"/>
      <c r="BJ231" s="172"/>
      <c r="BK231" s="172"/>
      <c r="BL231" s="172"/>
      <c r="BM231" s="172"/>
      <c r="BN231" s="172"/>
      <c r="BO231" s="172"/>
      <c r="BP231" s="172"/>
      <c r="BQ231" s="172"/>
      <c r="BR231" s="172"/>
      <c r="BS231" s="172"/>
      <c r="BT231" s="172"/>
      <c r="BU231" s="172"/>
      <c r="BV231" s="172"/>
      <c r="BW231" s="172"/>
      <c r="BX231" s="175"/>
      <c r="BY231" s="175"/>
      <c r="BZ231" s="175"/>
      <c r="CA231" s="175"/>
      <c r="CB231" s="175"/>
      <c r="CC231" s="175"/>
      <c r="CD231" s="175"/>
      <c r="CE231" s="175"/>
      <c r="CF231" s="175"/>
      <c r="CG231" s="175"/>
      <c r="CH231" s="175"/>
      <c r="CI231" s="175"/>
      <c r="CJ231" s="175"/>
      <c r="CK231" s="175"/>
      <c r="CL231" s="175"/>
      <c r="CM231" s="175"/>
      <c r="CN231" s="175"/>
      <c r="CO231" s="175"/>
      <c r="CP231" s="175"/>
      <c r="CQ231" s="175"/>
      <c r="CR231" s="175"/>
      <c r="CS231" s="175"/>
      <c r="CT231" s="175"/>
      <c r="CU231" s="175"/>
      <c r="CV231" s="175"/>
      <c r="CW231" s="175"/>
      <c r="CX231" s="175"/>
      <c r="CY231" s="175"/>
      <c r="CZ231" s="175"/>
      <c r="DA231" s="175"/>
      <c r="DB231" s="175"/>
      <c r="DC231" s="175"/>
      <c r="DD231" s="175"/>
      <c r="DE231" s="175"/>
      <c r="DF231" s="175"/>
      <c r="DG231" s="175"/>
      <c r="DH231" s="175"/>
      <c r="DI231" s="175"/>
      <c r="DJ231" s="175"/>
      <c r="DK231" s="175"/>
      <c r="DL231" s="175"/>
      <c r="DM231" s="175"/>
      <c r="DN231" s="175"/>
      <c r="DO231" s="175"/>
      <c r="DP231" s="175"/>
      <c r="DQ231" s="175"/>
      <c r="DR231" s="175"/>
      <c r="DS231" s="175"/>
      <c r="DT231" s="175"/>
      <c r="DU231" s="175"/>
      <c r="DV231" s="175"/>
      <c r="DW231" s="175"/>
      <c r="DX231" s="175"/>
      <c r="DY231" s="175"/>
      <c r="DZ231" s="175"/>
      <c r="EA231" s="175"/>
      <c r="EB231" s="175"/>
      <c r="EC231" s="175"/>
      <c r="ED231" s="175"/>
      <c r="EE231" s="175"/>
      <c r="EF231" s="175"/>
      <c r="EG231" s="175"/>
      <c r="EH231" s="175"/>
      <c r="EI231" s="175"/>
      <c r="EJ231" s="175"/>
      <c r="EK231" s="175"/>
      <c r="EL231" s="175"/>
      <c r="EM231" s="175"/>
      <c r="EN231" s="175"/>
      <c r="EO231" s="175"/>
      <c r="EP231" s="175"/>
      <c r="EQ231" s="175"/>
      <c r="ER231" s="175"/>
      <c r="ES231" s="175"/>
      <c r="ET231" s="175"/>
      <c r="EU231" s="175"/>
      <c r="EV231" s="175"/>
      <c r="EW231" s="175"/>
      <c r="EX231" s="175"/>
      <c r="EY231" s="175"/>
      <c r="EZ231" s="175"/>
      <c r="FA231" s="175"/>
      <c r="FB231" s="175"/>
      <c r="FC231" s="175"/>
      <c r="FD231" s="175"/>
      <c r="FE231" s="175"/>
      <c r="FF231" s="175"/>
      <c r="FG231" s="175"/>
      <c r="FH231" s="175"/>
      <c r="FI231" s="175"/>
      <c r="FJ231" s="175"/>
      <c r="FK231" s="175"/>
      <c r="FL231" s="175"/>
      <c r="FM231" s="175"/>
      <c r="FN231" s="175"/>
      <c r="FO231" s="175"/>
      <c r="FP231" s="175"/>
      <c r="FQ231" s="175"/>
      <c r="FR231" s="175"/>
      <c r="FS231" s="175"/>
      <c r="FT231" s="175"/>
      <c r="FU231" s="175"/>
      <c r="FV231" s="175"/>
      <c r="FW231" s="175"/>
      <c r="FX231" s="175"/>
      <c r="FY231" s="175"/>
      <c r="FZ231" s="175"/>
      <c r="GA231" s="175"/>
      <c r="GB231" s="175"/>
      <c r="GC231" s="175"/>
      <c r="GD231" s="175"/>
      <c r="GE231" s="175"/>
      <c r="GF231" s="175"/>
      <c r="GG231" s="175"/>
      <c r="GH231" s="175"/>
      <c r="GI231" s="175"/>
      <c r="GJ231" s="175"/>
      <c r="GK231" s="175"/>
      <c r="GL231" s="175"/>
      <c r="GM231" s="175"/>
      <c r="GN231" s="175"/>
      <c r="GO231" s="175"/>
      <c r="GP231" s="175"/>
      <c r="GQ231" s="175"/>
      <c r="GR231" s="175"/>
      <c r="GS231" s="175"/>
      <c r="GT231" s="175"/>
      <c r="GU231" s="175"/>
      <c r="GV231" s="175"/>
      <c r="GW231" s="175"/>
      <c r="GX231" s="175"/>
      <c r="GY231" s="175"/>
      <c r="GZ231" s="175"/>
      <c r="HA231" s="175"/>
      <c r="HB231" s="175"/>
      <c r="HC231" s="175"/>
      <c r="HD231" s="175"/>
      <c r="HE231" s="175"/>
      <c r="HF231" s="175"/>
      <c r="HG231" s="175"/>
      <c r="HH231" s="175"/>
      <c r="HI231" s="175"/>
      <c r="HJ231" s="175"/>
      <c r="HK231" s="175"/>
      <c r="HL231" s="175"/>
      <c r="HM231" s="175"/>
      <c r="HN231" s="175"/>
      <c r="HO231" s="175"/>
      <c r="HP231" s="175"/>
      <c r="HQ231" s="175"/>
      <c r="HR231" s="175"/>
      <c r="HS231" s="175"/>
      <c r="HT231" s="175"/>
      <c r="HU231" s="175"/>
      <c r="HV231" s="175"/>
      <c r="HW231" s="175"/>
      <c r="HX231" s="175"/>
      <c r="HY231" s="175"/>
      <c r="HZ231" s="175"/>
      <c r="IA231" s="175"/>
      <c r="IB231" s="175"/>
      <c r="IC231" s="175"/>
      <c r="ID231" s="175"/>
      <c r="IE231" s="175"/>
      <c r="IF231" s="175"/>
      <c r="IG231" s="175"/>
      <c r="IH231" s="175"/>
      <c r="II231" s="175"/>
      <c r="IJ231" s="175"/>
      <c r="IK231" s="175"/>
      <c r="IL231" s="175"/>
      <c r="IM231" s="175"/>
      <c r="IN231" s="175"/>
      <c r="IO231" s="175"/>
      <c r="IP231" s="175"/>
      <c r="IQ231" s="175"/>
      <c r="IR231" s="175"/>
      <c r="IS231" s="175"/>
      <c r="IT231" s="175"/>
      <c r="IU231" s="175"/>
      <c r="IV231" s="175"/>
      <c r="IW231" s="175"/>
      <c r="IX231" s="175"/>
      <c r="IY231" s="175"/>
      <c r="IZ231" s="175"/>
      <c r="JA231" s="175"/>
      <c r="JB231" s="175"/>
      <c r="JC231" s="175"/>
      <c r="JD231" s="175"/>
      <c r="JE231" s="175"/>
      <c r="JF231" s="175"/>
      <c r="JG231" s="175"/>
      <c r="JH231" s="175"/>
      <c r="JI231" s="175"/>
      <c r="JJ231" s="175"/>
      <c r="JK231" s="175"/>
      <c r="JL231" s="175"/>
      <c r="JM231" s="175"/>
      <c r="JN231" s="175"/>
      <c r="JO231" s="175"/>
      <c r="JP231" s="175"/>
      <c r="JQ231" s="175"/>
      <c r="JR231" s="175"/>
      <c r="JS231" s="175"/>
      <c r="JT231" s="175"/>
      <c r="JU231" s="175"/>
      <c r="JV231" s="175"/>
      <c r="JW231" s="175"/>
      <c r="JX231" s="175"/>
      <c r="JY231" s="175"/>
      <c r="JZ231" s="175"/>
      <c r="KA231" s="175"/>
      <c r="KB231" s="175"/>
      <c r="KC231" s="175"/>
      <c r="KD231" s="175"/>
      <c r="KE231" s="175"/>
      <c r="KF231" s="175"/>
      <c r="KG231" s="175"/>
      <c r="KH231" s="175"/>
      <c r="KI231" s="175"/>
      <c r="KJ231" s="175"/>
      <c r="KK231" s="175"/>
      <c r="KL231" s="175"/>
      <c r="KM231" s="175"/>
      <c r="KN231" s="175"/>
      <c r="KO231" s="175"/>
      <c r="KP231" s="175"/>
      <c r="KQ231" s="175"/>
      <c r="KR231" s="175"/>
      <c r="KS231" s="175"/>
      <c r="KT231" s="175"/>
      <c r="KU231" s="175"/>
    </row>
    <row r="232" spans="1:307" x14ac:dyDescent="0.2">
      <c r="A232" s="172"/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172"/>
      <c r="AR232" s="172"/>
      <c r="AS232" s="172"/>
      <c r="AT232" s="172"/>
      <c r="AU232" s="172"/>
      <c r="AV232" s="172"/>
      <c r="AW232" s="172"/>
      <c r="AX232" s="172"/>
      <c r="AY232" s="172"/>
      <c r="AZ232" s="172"/>
      <c r="BA232" s="172"/>
      <c r="BB232" s="172"/>
      <c r="BC232" s="172"/>
      <c r="BD232" s="172"/>
      <c r="BE232" s="172"/>
      <c r="BF232" s="172"/>
      <c r="BG232" s="172"/>
      <c r="BH232" s="172"/>
      <c r="BI232" s="172"/>
      <c r="BJ232" s="172"/>
      <c r="BK232" s="172"/>
      <c r="BL232" s="172"/>
      <c r="BM232" s="172"/>
      <c r="BN232" s="172"/>
      <c r="BO232" s="172"/>
      <c r="BP232" s="172"/>
      <c r="BQ232" s="172"/>
      <c r="BR232" s="172"/>
      <c r="BS232" s="172"/>
      <c r="BT232" s="172"/>
      <c r="BU232" s="172"/>
      <c r="BV232" s="172"/>
      <c r="BW232" s="172"/>
      <c r="BX232" s="175"/>
      <c r="BY232" s="175"/>
      <c r="BZ232" s="175"/>
      <c r="CA232" s="175"/>
      <c r="CB232" s="175"/>
      <c r="CC232" s="175"/>
      <c r="CD232" s="175"/>
      <c r="CE232" s="175"/>
      <c r="CF232" s="175"/>
      <c r="CG232" s="175"/>
      <c r="CH232" s="175"/>
      <c r="CI232" s="175"/>
      <c r="CJ232" s="175"/>
      <c r="CK232" s="175"/>
      <c r="CL232" s="175"/>
      <c r="CM232" s="175"/>
      <c r="CN232" s="175"/>
      <c r="CO232" s="175"/>
      <c r="CP232" s="175"/>
      <c r="CQ232" s="175"/>
      <c r="CR232" s="175"/>
      <c r="CS232" s="175"/>
      <c r="CT232" s="175"/>
      <c r="CU232" s="175"/>
      <c r="CV232" s="175"/>
      <c r="CW232" s="175"/>
      <c r="CX232" s="175"/>
      <c r="CY232" s="175"/>
      <c r="CZ232" s="175"/>
      <c r="DA232" s="175"/>
      <c r="DB232" s="175"/>
      <c r="DC232" s="175"/>
      <c r="DD232" s="175"/>
      <c r="DE232" s="175"/>
      <c r="DF232" s="175"/>
      <c r="DG232" s="175"/>
      <c r="DH232" s="175"/>
      <c r="DI232" s="175"/>
      <c r="DJ232" s="175"/>
      <c r="DK232" s="175"/>
      <c r="DL232" s="175"/>
      <c r="DM232" s="175"/>
      <c r="DN232" s="175"/>
      <c r="DO232" s="175"/>
      <c r="DP232" s="175"/>
      <c r="DQ232" s="175"/>
      <c r="DR232" s="175"/>
      <c r="DS232" s="175"/>
      <c r="DT232" s="175"/>
      <c r="DU232" s="175"/>
      <c r="DV232" s="175"/>
      <c r="DW232" s="175"/>
      <c r="DX232" s="175"/>
      <c r="DY232" s="175"/>
      <c r="DZ232" s="175"/>
      <c r="EA232" s="175"/>
      <c r="EB232" s="175"/>
      <c r="EC232" s="175"/>
      <c r="ED232" s="175"/>
      <c r="EE232" s="175"/>
      <c r="EF232" s="175"/>
      <c r="EG232" s="175"/>
      <c r="EH232" s="175"/>
      <c r="EI232" s="175"/>
      <c r="EJ232" s="175"/>
      <c r="EK232" s="175"/>
      <c r="EL232" s="175"/>
      <c r="EM232" s="175"/>
      <c r="EN232" s="175"/>
      <c r="EO232" s="175"/>
      <c r="EP232" s="175"/>
      <c r="EQ232" s="175"/>
      <c r="ER232" s="175"/>
      <c r="ES232" s="175"/>
      <c r="ET232" s="175"/>
      <c r="EU232" s="175"/>
      <c r="EV232" s="175"/>
      <c r="EW232" s="175"/>
      <c r="EX232" s="175"/>
      <c r="EY232" s="175"/>
      <c r="EZ232" s="175"/>
      <c r="FA232" s="175"/>
      <c r="FB232" s="175"/>
      <c r="FC232" s="175"/>
      <c r="FD232" s="175"/>
      <c r="FE232" s="175"/>
      <c r="FF232" s="175"/>
      <c r="FG232" s="175"/>
      <c r="FH232" s="175"/>
      <c r="FI232" s="175"/>
      <c r="FJ232" s="175"/>
      <c r="FK232" s="175"/>
      <c r="FL232" s="175"/>
      <c r="FM232" s="175"/>
      <c r="FN232" s="175"/>
      <c r="FO232" s="175"/>
      <c r="FP232" s="175"/>
      <c r="FQ232" s="175"/>
      <c r="FR232" s="175"/>
      <c r="FS232" s="175"/>
      <c r="FT232" s="175"/>
      <c r="FU232" s="175"/>
      <c r="FV232" s="175"/>
      <c r="FW232" s="175"/>
      <c r="FX232" s="175"/>
      <c r="FY232" s="175"/>
      <c r="FZ232" s="175"/>
      <c r="GA232" s="175"/>
      <c r="GB232" s="175"/>
      <c r="GC232" s="175"/>
      <c r="GD232" s="175"/>
      <c r="GE232" s="175"/>
      <c r="GF232" s="175"/>
      <c r="GG232" s="175"/>
      <c r="GH232" s="175"/>
      <c r="GI232" s="175"/>
      <c r="GJ232" s="175"/>
      <c r="GK232" s="175"/>
      <c r="GL232" s="175"/>
      <c r="GM232" s="175"/>
      <c r="GN232" s="175"/>
      <c r="GO232" s="175"/>
      <c r="GP232" s="175"/>
      <c r="GQ232" s="175"/>
      <c r="GR232" s="175"/>
      <c r="GS232" s="175"/>
      <c r="GT232" s="175"/>
      <c r="GU232" s="175"/>
      <c r="GV232" s="175"/>
      <c r="GW232" s="175"/>
      <c r="GX232" s="175"/>
      <c r="GY232" s="175"/>
      <c r="GZ232" s="175"/>
      <c r="HA232" s="175"/>
      <c r="HB232" s="175"/>
      <c r="HC232" s="175"/>
      <c r="HD232" s="175"/>
      <c r="HE232" s="175"/>
      <c r="HF232" s="175"/>
      <c r="HG232" s="175"/>
      <c r="HH232" s="175"/>
      <c r="HI232" s="175"/>
      <c r="HJ232" s="175"/>
      <c r="HK232" s="175"/>
      <c r="HL232" s="175"/>
      <c r="HM232" s="175"/>
      <c r="HN232" s="175"/>
      <c r="HO232" s="175"/>
      <c r="HP232" s="175"/>
      <c r="HQ232" s="175"/>
      <c r="HR232" s="175"/>
      <c r="HS232" s="175"/>
      <c r="HT232" s="175"/>
      <c r="HU232" s="175"/>
      <c r="HV232" s="175"/>
      <c r="HW232" s="175"/>
      <c r="HX232" s="175"/>
      <c r="HY232" s="175"/>
      <c r="HZ232" s="175"/>
      <c r="IA232" s="175"/>
      <c r="IB232" s="175"/>
      <c r="IC232" s="175"/>
      <c r="ID232" s="175"/>
      <c r="IE232" s="175"/>
      <c r="IF232" s="175"/>
      <c r="IG232" s="175"/>
      <c r="IH232" s="175"/>
      <c r="II232" s="175"/>
      <c r="IJ232" s="175"/>
      <c r="IK232" s="175"/>
      <c r="IL232" s="175"/>
      <c r="IM232" s="175"/>
      <c r="IN232" s="175"/>
      <c r="IO232" s="175"/>
      <c r="IP232" s="175"/>
      <c r="IQ232" s="175"/>
      <c r="IR232" s="175"/>
      <c r="IS232" s="175"/>
      <c r="IT232" s="175"/>
      <c r="IU232" s="175"/>
      <c r="IV232" s="175"/>
      <c r="IW232" s="175"/>
      <c r="IX232" s="175"/>
      <c r="IY232" s="175"/>
      <c r="IZ232" s="175"/>
      <c r="JA232" s="175"/>
      <c r="JB232" s="175"/>
      <c r="JC232" s="175"/>
      <c r="JD232" s="175"/>
      <c r="JE232" s="175"/>
      <c r="JF232" s="175"/>
      <c r="JG232" s="175"/>
      <c r="JH232" s="175"/>
      <c r="JI232" s="175"/>
      <c r="JJ232" s="175"/>
      <c r="JK232" s="175"/>
      <c r="JL232" s="175"/>
      <c r="JM232" s="175"/>
      <c r="JN232" s="175"/>
      <c r="JO232" s="175"/>
      <c r="JP232" s="175"/>
      <c r="JQ232" s="175"/>
      <c r="JR232" s="175"/>
      <c r="JS232" s="175"/>
      <c r="JT232" s="175"/>
      <c r="JU232" s="175"/>
      <c r="JV232" s="175"/>
      <c r="JW232" s="175"/>
      <c r="JX232" s="175"/>
      <c r="JY232" s="175"/>
      <c r="JZ232" s="175"/>
      <c r="KA232" s="175"/>
      <c r="KB232" s="175"/>
      <c r="KC232" s="175"/>
      <c r="KD232" s="175"/>
      <c r="KE232" s="175"/>
      <c r="KF232" s="175"/>
      <c r="KG232" s="175"/>
      <c r="KH232" s="175"/>
      <c r="KI232" s="175"/>
      <c r="KJ232" s="175"/>
      <c r="KK232" s="175"/>
      <c r="KL232" s="175"/>
      <c r="KM232" s="175"/>
      <c r="KN232" s="175"/>
      <c r="KO232" s="175"/>
      <c r="KP232" s="175"/>
      <c r="KQ232" s="175"/>
      <c r="KR232" s="175"/>
      <c r="KS232" s="175"/>
      <c r="KT232" s="175"/>
      <c r="KU232" s="175"/>
    </row>
    <row r="233" spans="1:307" x14ac:dyDescent="0.2">
      <c r="A233" s="172"/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  <c r="AP233" s="172"/>
      <c r="AQ233" s="172"/>
      <c r="AR233" s="172"/>
      <c r="AS233" s="172"/>
      <c r="AT233" s="172"/>
      <c r="AU233" s="172"/>
      <c r="AV233" s="172"/>
      <c r="AW233" s="172"/>
      <c r="AX233" s="172"/>
      <c r="AY233" s="172"/>
      <c r="AZ233" s="172"/>
      <c r="BA233" s="172"/>
      <c r="BB233" s="172"/>
      <c r="BC233" s="172"/>
      <c r="BD233" s="172"/>
      <c r="BE233" s="172"/>
      <c r="BF233" s="172"/>
      <c r="BG233" s="172"/>
      <c r="BH233" s="172"/>
      <c r="BI233" s="172"/>
      <c r="BJ233" s="172"/>
      <c r="BK233" s="172"/>
      <c r="BL233" s="172"/>
      <c r="BM233" s="172"/>
      <c r="BN233" s="172"/>
      <c r="BO233" s="172"/>
      <c r="BP233" s="172"/>
      <c r="BQ233" s="172"/>
      <c r="BR233" s="172"/>
      <c r="BS233" s="172"/>
      <c r="BT233" s="172"/>
      <c r="BU233" s="172"/>
      <c r="BV233" s="172"/>
      <c r="BW233" s="172"/>
      <c r="BX233" s="175"/>
      <c r="BY233" s="175"/>
      <c r="BZ233" s="175"/>
      <c r="CA233" s="175"/>
      <c r="CB233" s="175"/>
      <c r="CC233" s="175"/>
      <c r="CD233" s="175"/>
      <c r="CE233" s="175"/>
      <c r="CF233" s="175"/>
      <c r="CG233" s="175"/>
      <c r="CH233" s="175"/>
      <c r="CI233" s="175"/>
      <c r="CJ233" s="175"/>
      <c r="CK233" s="175"/>
      <c r="CL233" s="175"/>
      <c r="CM233" s="175"/>
      <c r="CN233" s="175"/>
      <c r="CO233" s="175"/>
      <c r="CP233" s="175"/>
      <c r="CQ233" s="175"/>
      <c r="CR233" s="175"/>
      <c r="CS233" s="175"/>
      <c r="CT233" s="175"/>
      <c r="CU233" s="175"/>
      <c r="CV233" s="175"/>
      <c r="CW233" s="175"/>
      <c r="CX233" s="175"/>
      <c r="CY233" s="175"/>
      <c r="CZ233" s="175"/>
      <c r="DA233" s="175"/>
      <c r="DB233" s="175"/>
      <c r="DC233" s="175"/>
      <c r="DD233" s="175"/>
      <c r="DE233" s="175"/>
      <c r="DF233" s="175"/>
      <c r="DG233" s="175"/>
      <c r="DH233" s="175"/>
      <c r="DI233" s="175"/>
      <c r="DJ233" s="175"/>
      <c r="DK233" s="175"/>
      <c r="DL233" s="175"/>
      <c r="DM233" s="175"/>
      <c r="DN233" s="175"/>
      <c r="DO233" s="175"/>
      <c r="DP233" s="175"/>
      <c r="DQ233" s="175"/>
      <c r="DR233" s="175"/>
      <c r="DS233" s="175"/>
      <c r="DT233" s="175"/>
      <c r="DU233" s="175"/>
      <c r="DV233" s="175"/>
      <c r="DW233" s="175"/>
      <c r="DX233" s="175"/>
      <c r="DY233" s="175"/>
      <c r="DZ233" s="175"/>
      <c r="EA233" s="175"/>
      <c r="EB233" s="175"/>
      <c r="EC233" s="175"/>
      <c r="ED233" s="175"/>
      <c r="EE233" s="175"/>
      <c r="EF233" s="175"/>
      <c r="EG233" s="175"/>
      <c r="EH233" s="175"/>
      <c r="EI233" s="175"/>
      <c r="EJ233" s="175"/>
      <c r="EK233" s="175"/>
      <c r="EL233" s="175"/>
      <c r="EM233" s="175"/>
      <c r="EN233" s="175"/>
      <c r="EO233" s="175"/>
      <c r="EP233" s="175"/>
      <c r="EQ233" s="175"/>
      <c r="ER233" s="175"/>
      <c r="ES233" s="175"/>
      <c r="ET233" s="175"/>
      <c r="EU233" s="175"/>
      <c r="EV233" s="175"/>
      <c r="EW233" s="175"/>
      <c r="EX233" s="175"/>
      <c r="EY233" s="175"/>
      <c r="EZ233" s="175"/>
      <c r="FA233" s="175"/>
      <c r="FB233" s="175"/>
      <c r="FC233" s="175"/>
      <c r="FD233" s="175"/>
      <c r="FE233" s="175"/>
      <c r="FF233" s="175"/>
      <c r="FG233" s="175"/>
      <c r="FH233" s="175"/>
      <c r="FI233" s="175"/>
      <c r="FJ233" s="175"/>
      <c r="FK233" s="175"/>
      <c r="FL233" s="175"/>
      <c r="FM233" s="175"/>
      <c r="FN233" s="175"/>
      <c r="FO233" s="175"/>
      <c r="FP233" s="175"/>
      <c r="FQ233" s="175"/>
      <c r="FR233" s="175"/>
      <c r="FS233" s="175"/>
      <c r="FT233" s="175"/>
      <c r="FU233" s="175"/>
      <c r="FV233" s="175"/>
      <c r="FW233" s="175"/>
      <c r="FX233" s="175"/>
      <c r="FY233" s="175"/>
      <c r="FZ233" s="175"/>
      <c r="GA233" s="175"/>
      <c r="GB233" s="175"/>
      <c r="GC233" s="175"/>
      <c r="GD233" s="175"/>
      <c r="GE233" s="175"/>
      <c r="GF233" s="175"/>
      <c r="GG233" s="175"/>
      <c r="GH233" s="175"/>
      <c r="GI233" s="175"/>
      <c r="GJ233" s="175"/>
      <c r="GK233" s="175"/>
      <c r="GL233" s="175"/>
      <c r="GM233" s="175"/>
      <c r="GN233" s="175"/>
      <c r="GO233" s="175"/>
      <c r="GP233" s="175"/>
      <c r="GQ233" s="175"/>
      <c r="GR233" s="175"/>
      <c r="GS233" s="175"/>
      <c r="GT233" s="175"/>
      <c r="GU233" s="175"/>
      <c r="GV233" s="175"/>
      <c r="GW233" s="175"/>
      <c r="GX233" s="175"/>
      <c r="GY233" s="175"/>
      <c r="GZ233" s="175"/>
      <c r="HA233" s="175"/>
      <c r="HB233" s="175"/>
      <c r="HC233" s="175"/>
      <c r="HD233" s="175"/>
      <c r="HE233" s="175"/>
      <c r="HF233" s="175"/>
      <c r="HG233" s="175"/>
      <c r="HH233" s="175"/>
      <c r="HI233" s="175"/>
      <c r="HJ233" s="175"/>
      <c r="HK233" s="175"/>
      <c r="HL233" s="175"/>
      <c r="HM233" s="175"/>
      <c r="HN233" s="175"/>
      <c r="HO233" s="175"/>
      <c r="HP233" s="175"/>
      <c r="HQ233" s="175"/>
      <c r="HR233" s="175"/>
      <c r="HS233" s="175"/>
      <c r="HT233" s="175"/>
      <c r="HU233" s="175"/>
      <c r="HV233" s="175"/>
      <c r="HW233" s="175"/>
      <c r="HX233" s="175"/>
      <c r="HY233" s="175"/>
      <c r="HZ233" s="175"/>
      <c r="IA233" s="175"/>
      <c r="IB233" s="175"/>
      <c r="IC233" s="175"/>
      <c r="ID233" s="175"/>
      <c r="IE233" s="175"/>
      <c r="IF233" s="175"/>
      <c r="IG233" s="175"/>
      <c r="IH233" s="175"/>
      <c r="II233" s="175"/>
      <c r="IJ233" s="175"/>
      <c r="IK233" s="175"/>
      <c r="IL233" s="175"/>
      <c r="IM233" s="175"/>
      <c r="IN233" s="175"/>
      <c r="IO233" s="175"/>
      <c r="IP233" s="175"/>
      <c r="IQ233" s="175"/>
      <c r="IR233" s="175"/>
      <c r="IS233" s="175"/>
      <c r="IT233" s="175"/>
      <c r="IU233" s="175"/>
      <c r="IV233" s="175"/>
      <c r="IW233" s="175"/>
      <c r="IX233" s="175"/>
      <c r="IY233" s="175"/>
      <c r="IZ233" s="175"/>
      <c r="JA233" s="175"/>
      <c r="JB233" s="175"/>
      <c r="JC233" s="175"/>
      <c r="JD233" s="175"/>
      <c r="JE233" s="175"/>
      <c r="JF233" s="175"/>
      <c r="JG233" s="175"/>
      <c r="JH233" s="175"/>
      <c r="JI233" s="175"/>
      <c r="JJ233" s="175"/>
      <c r="JK233" s="175"/>
      <c r="JL233" s="175"/>
      <c r="JM233" s="175"/>
      <c r="JN233" s="175"/>
      <c r="JO233" s="175"/>
      <c r="JP233" s="175"/>
      <c r="JQ233" s="175"/>
      <c r="JR233" s="175"/>
      <c r="JS233" s="175"/>
      <c r="JT233" s="175"/>
      <c r="JU233" s="175"/>
      <c r="JV233" s="175"/>
      <c r="JW233" s="175"/>
      <c r="JX233" s="175"/>
      <c r="JY233" s="175"/>
      <c r="JZ233" s="175"/>
      <c r="KA233" s="175"/>
      <c r="KB233" s="175"/>
      <c r="KC233" s="175"/>
      <c r="KD233" s="175"/>
      <c r="KE233" s="175"/>
      <c r="KF233" s="175"/>
      <c r="KG233" s="175"/>
      <c r="KH233" s="175"/>
      <c r="KI233" s="175"/>
      <c r="KJ233" s="175"/>
      <c r="KK233" s="175"/>
      <c r="KL233" s="175"/>
      <c r="KM233" s="175"/>
      <c r="KN233" s="175"/>
      <c r="KO233" s="175"/>
      <c r="KP233" s="175"/>
      <c r="KQ233" s="175"/>
      <c r="KR233" s="175"/>
      <c r="KS233" s="175"/>
      <c r="KT233" s="175"/>
      <c r="KU233" s="175"/>
    </row>
    <row r="234" spans="1:307" x14ac:dyDescent="0.2">
      <c r="A234" s="172"/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72"/>
      <c r="AT234" s="172"/>
      <c r="AU234" s="172"/>
      <c r="AV234" s="172"/>
      <c r="AW234" s="172"/>
      <c r="AX234" s="172"/>
      <c r="AY234" s="172"/>
      <c r="AZ234" s="172"/>
      <c r="BA234" s="172"/>
      <c r="BB234" s="172"/>
      <c r="BC234" s="172"/>
      <c r="BD234" s="172"/>
      <c r="BE234" s="172"/>
      <c r="BF234" s="172"/>
      <c r="BG234" s="172"/>
      <c r="BH234" s="172"/>
      <c r="BI234" s="172"/>
      <c r="BJ234" s="172"/>
      <c r="BK234" s="172"/>
      <c r="BL234" s="172"/>
      <c r="BM234" s="172"/>
      <c r="BN234" s="172"/>
      <c r="BO234" s="172"/>
      <c r="BP234" s="172"/>
      <c r="BQ234" s="172"/>
      <c r="BR234" s="172"/>
      <c r="BS234" s="172"/>
      <c r="BT234" s="172"/>
      <c r="BU234" s="172"/>
      <c r="BV234" s="172"/>
      <c r="BW234" s="172"/>
      <c r="BX234" s="175"/>
      <c r="BY234" s="175"/>
      <c r="BZ234" s="175"/>
      <c r="CA234" s="175"/>
      <c r="CB234" s="175"/>
      <c r="CC234" s="175"/>
      <c r="CD234" s="175"/>
      <c r="CE234" s="175"/>
      <c r="CF234" s="175"/>
      <c r="CG234" s="175"/>
      <c r="CH234" s="175"/>
      <c r="CI234" s="175"/>
      <c r="CJ234" s="175"/>
      <c r="CK234" s="175"/>
      <c r="CL234" s="175"/>
      <c r="CM234" s="175"/>
      <c r="CN234" s="175"/>
      <c r="CO234" s="175"/>
      <c r="CP234" s="175"/>
      <c r="CQ234" s="175"/>
      <c r="CR234" s="175"/>
      <c r="CS234" s="175"/>
      <c r="CT234" s="175"/>
      <c r="CU234" s="175"/>
      <c r="CV234" s="175"/>
      <c r="CW234" s="175"/>
      <c r="CX234" s="175"/>
      <c r="CY234" s="175"/>
      <c r="CZ234" s="175"/>
      <c r="DA234" s="175"/>
      <c r="DB234" s="175"/>
      <c r="DC234" s="175"/>
      <c r="DD234" s="175"/>
      <c r="DE234" s="175"/>
      <c r="DF234" s="175"/>
      <c r="DG234" s="175"/>
      <c r="DH234" s="175"/>
      <c r="DI234" s="175"/>
      <c r="DJ234" s="175"/>
      <c r="DK234" s="175"/>
      <c r="DL234" s="175"/>
      <c r="DM234" s="175"/>
      <c r="DN234" s="175"/>
      <c r="DO234" s="175"/>
      <c r="DP234" s="175"/>
      <c r="DQ234" s="175"/>
      <c r="DR234" s="175"/>
      <c r="DS234" s="175"/>
      <c r="DT234" s="175"/>
      <c r="DU234" s="175"/>
      <c r="DV234" s="175"/>
      <c r="DW234" s="175"/>
      <c r="DX234" s="175"/>
      <c r="DY234" s="175"/>
      <c r="DZ234" s="175"/>
      <c r="EA234" s="175"/>
      <c r="EB234" s="175"/>
      <c r="EC234" s="175"/>
      <c r="ED234" s="175"/>
      <c r="EE234" s="175"/>
      <c r="EF234" s="175"/>
      <c r="EG234" s="175"/>
      <c r="EH234" s="175"/>
      <c r="EI234" s="175"/>
      <c r="EJ234" s="175"/>
      <c r="EK234" s="175"/>
      <c r="EL234" s="175"/>
      <c r="EM234" s="175"/>
      <c r="EN234" s="175"/>
      <c r="EO234" s="175"/>
      <c r="EP234" s="175"/>
      <c r="EQ234" s="175"/>
      <c r="ER234" s="175"/>
      <c r="ES234" s="175"/>
      <c r="ET234" s="175"/>
      <c r="EU234" s="175"/>
      <c r="EV234" s="175"/>
      <c r="EW234" s="175"/>
      <c r="EX234" s="175"/>
      <c r="EY234" s="175"/>
      <c r="EZ234" s="175"/>
      <c r="FA234" s="175"/>
      <c r="FB234" s="175"/>
      <c r="FC234" s="175"/>
      <c r="FD234" s="175"/>
      <c r="FE234" s="175"/>
      <c r="FF234" s="175"/>
      <c r="FG234" s="175"/>
      <c r="FH234" s="175"/>
      <c r="FI234" s="175"/>
      <c r="FJ234" s="175"/>
      <c r="FK234" s="175"/>
      <c r="FL234" s="175"/>
      <c r="FM234" s="175"/>
      <c r="FN234" s="175"/>
      <c r="FO234" s="175"/>
      <c r="FP234" s="175"/>
      <c r="FQ234" s="175"/>
      <c r="FR234" s="175"/>
      <c r="FS234" s="175"/>
      <c r="FT234" s="175"/>
      <c r="FU234" s="175"/>
      <c r="FV234" s="175"/>
      <c r="FW234" s="175"/>
      <c r="FX234" s="175"/>
      <c r="FY234" s="175"/>
      <c r="FZ234" s="175"/>
      <c r="GA234" s="175"/>
      <c r="GB234" s="175"/>
      <c r="GC234" s="175"/>
      <c r="GD234" s="175"/>
      <c r="GE234" s="175"/>
      <c r="GF234" s="175"/>
      <c r="GG234" s="175"/>
      <c r="GH234" s="175"/>
      <c r="GI234" s="175"/>
      <c r="GJ234" s="175"/>
      <c r="GK234" s="175"/>
      <c r="GL234" s="175"/>
      <c r="GM234" s="175"/>
      <c r="GN234" s="175"/>
      <c r="GO234" s="175"/>
      <c r="GP234" s="175"/>
      <c r="GQ234" s="175"/>
      <c r="GR234" s="175"/>
      <c r="GS234" s="175"/>
      <c r="GT234" s="175"/>
      <c r="GU234" s="175"/>
      <c r="GV234" s="175"/>
      <c r="GW234" s="175"/>
      <c r="GX234" s="175"/>
      <c r="GY234" s="175"/>
      <c r="GZ234" s="175"/>
      <c r="HA234" s="175"/>
      <c r="HB234" s="175"/>
      <c r="HC234" s="175"/>
      <c r="HD234" s="175"/>
      <c r="HE234" s="175"/>
      <c r="HF234" s="175"/>
      <c r="HG234" s="175"/>
      <c r="HH234" s="175"/>
      <c r="HI234" s="175"/>
      <c r="HJ234" s="175"/>
      <c r="HK234" s="175"/>
      <c r="HL234" s="175"/>
      <c r="HM234" s="175"/>
      <c r="HN234" s="175"/>
      <c r="HO234" s="175"/>
      <c r="HP234" s="175"/>
      <c r="HQ234" s="175"/>
      <c r="HR234" s="175"/>
      <c r="HS234" s="175"/>
      <c r="HT234" s="175"/>
      <c r="HU234" s="175"/>
      <c r="HV234" s="175"/>
      <c r="HW234" s="175"/>
      <c r="HX234" s="175"/>
      <c r="HY234" s="175"/>
      <c r="HZ234" s="175"/>
      <c r="IA234" s="175"/>
      <c r="IB234" s="175"/>
      <c r="IC234" s="175"/>
      <c r="ID234" s="175"/>
      <c r="IE234" s="175"/>
      <c r="IF234" s="175"/>
      <c r="IG234" s="175"/>
      <c r="IH234" s="175"/>
      <c r="II234" s="175"/>
      <c r="IJ234" s="175"/>
      <c r="IK234" s="175"/>
      <c r="IL234" s="175"/>
      <c r="IM234" s="175"/>
      <c r="IN234" s="175"/>
      <c r="IO234" s="175"/>
      <c r="IP234" s="175"/>
      <c r="IQ234" s="175"/>
      <c r="IR234" s="175"/>
      <c r="IS234" s="175"/>
      <c r="IT234" s="175"/>
      <c r="IU234" s="175"/>
      <c r="IV234" s="175"/>
      <c r="IW234" s="175"/>
      <c r="IX234" s="175"/>
      <c r="IY234" s="175"/>
      <c r="IZ234" s="175"/>
      <c r="JA234" s="175"/>
      <c r="JB234" s="175"/>
      <c r="JC234" s="175"/>
      <c r="JD234" s="175"/>
      <c r="JE234" s="175"/>
      <c r="JF234" s="175"/>
      <c r="JG234" s="175"/>
      <c r="JH234" s="175"/>
      <c r="JI234" s="175"/>
      <c r="JJ234" s="175"/>
      <c r="JK234" s="175"/>
      <c r="JL234" s="175"/>
      <c r="JM234" s="175"/>
      <c r="JN234" s="175"/>
      <c r="JO234" s="175"/>
      <c r="JP234" s="175"/>
      <c r="JQ234" s="175"/>
      <c r="JR234" s="175"/>
      <c r="JS234" s="175"/>
      <c r="JT234" s="175"/>
      <c r="JU234" s="175"/>
      <c r="JV234" s="175"/>
      <c r="JW234" s="175"/>
      <c r="JX234" s="175"/>
      <c r="JY234" s="175"/>
      <c r="JZ234" s="175"/>
      <c r="KA234" s="175"/>
      <c r="KB234" s="175"/>
      <c r="KC234" s="175"/>
      <c r="KD234" s="175"/>
      <c r="KE234" s="175"/>
      <c r="KF234" s="175"/>
      <c r="KG234" s="175"/>
      <c r="KH234" s="175"/>
      <c r="KI234" s="175"/>
      <c r="KJ234" s="175"/>
      <c r="KK234" s="175"/>
      <c r="KL234" s="175"/>
      <c r="KM234" s="175"/>
      <c r="KN234" s="175"/>
      <c r="KO234" s="175"/>
      <c r="KP234" s="175"/>
      <c r="KQ234" s="175"/>
      <c r="KR234" s="175"/>
      <c r="KS234" s="175"/>
      <c r="KT234" s="175"/>
      <c r="KU234" s="175"/>
    </row>
    <row r="235" spans="1:307" x14ac:dyDescent="0.2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  <c r="AA235" s="172"/>
      <c r="AB235" s="172"/>
      <c r="AC235" s="172"/>
      <c r="AD235" s="172"/>
      <c r="AE235" s="172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  <c r="AP235" s="172"/>
      <c r="AQ235" s="172"/>
      <c r="AR235" s="172"/>
      <c r="AS235" s="172"/>
      <c r="AT235" s="172"/>
      <c r="AU235" s="172"/>
      <c r="AV235" s="172"/>
      <c r="AW235" s="172"/>
      <c r="AX235" s="172"/>
      <c r="AY235" s="172"/>
      <c r="AZ235" s="172"/>
      <c r="BA235" s="172"/>
      <c r="BB235" s="172"/>
      <c r="BC235" s="172"/>
      <c r="BD235" s="172"/>
      <c r="BE235" s="172"/>
      <c r="BF235" s="172"/>
      <c r="BG235" s="172"/>
      <c r="BH235" s="172"/>
      <c r="BI235" s="172"/>
      <c r="BJ235" s="172"/>
      <c r="BK235" s="172"/>
      <c r="BL235" s="172"/>
      <c r="BM235" s="172"/>
      <c r="BN235" s="172"/>
      <c r="BO235" s="172"/>
      <c r="BP235" s="172"/>
      <c r="BQ235" s="172"/>
      <c r="BR235" s="172"/>
      <c r="BS235" s="172"/>
      <c r="BT235" s="172"/>
      <c r="BU235" s="172"/>
      <c r="BV235" s="172"/>
      <c r="BW235" s="172"/>
      <c r="BX235" s="175"/>
      <c r="BY235" s="175"/>
      <c r="BZ235" s="175"/>
      <c r="CA235" s="175"/>
      <c r="CB235" s="175"/>
      <c r="CC235" s="175"/>
      <c r="CD235" s="175"/>
      <c r="CE235" s="175"/>
      <c r="CF235" s="175"/>
      <c r="CG235" s="175"/>
      <c r="CH235" s="175"/>
      <c r="CI235" s="175"/>
      <c r="CJ235" s="175"/>
      <c r="CK235" s="175"/>
      <c r="CL235" s="175"/>
      <c r="CM235" s="175"/>
      <c r="CN235" s="175"/>
      <c r="CO235" s="175"/>
      <c r="CP235" s="175"/>
      <c r="CQ235" s="175"/>
      <c r="CR235" s="175"/>
      <c r="CS235" s="175"/>
      <c r="CT235" s="175"/>
      <c r="CU235" s="175"/>
      <c r="CV235" s="175"/>
      <c r="CW235" s="175"/>
      <c r="CX235" s="175"/>
      <c r="CY235" s="175"/>
      <c r="CZ235" s="175"/>
      <c r="DA235" s="175"/>
      <c r="DB235" s="175"/>
      <c r="DC235" s="175"/>
      <c r="DD235" s="175"/>
      <c r="DE235" s="175"/>
      <c r="DF235" s="175"/>
      <c r="DG235" s="175"/>
      <c r="DH235" s="175"/>
      <c r="DI235" s="175"/>
      <c r="DJ235" s="175"/>
      <c r="DK235" s="175"/>
      <c r="DL235" s="175"/>
      <c r="DM235" s="175"/>
      <c r="DN235" s="175"/>
      <c r="DO235" s="175"/>
      <c r="DP235" s="175"/>
      <c r="DQ235" s="175"/>
      <c r="DR235" s="175"/>
      <c r="DS235" s="175"/>
      <c r="DT235" s="175"/>
      <c r="DU235" s="175"/>
      <c r="DV235" s="175"/>
      <c r="DW235" s="175"/>
      <c r="DX235" s="175"/>
      <c r="DY235" s="175"/>
      <c r="DZ235" s="175"/>
      <c r="EA235" s="175"/>
      <c r="EB235" s="175"/>
      <c r="EC235" s="175"/>
      <c r="ED235" s="175"/>
      <c r="EE235" s="175"/>
      <c r="EF235" s="175"/>
      <c r="EG235" s="175"/>
      <c r="EH235" s="175"/>
      <c r="EI235" s="175"/>
      <c r="EJ235" s="175"/>
      <c r="EK235" s="175"/>
      <c r="EL235" s="175"/>
      <c r="EM235" s="175"/>
      <c r="EN235" s="175"/>
      <c r="EO235" s="175"/>
      <c r="EP235" s="175"/>
      <c r="EQ235" s="175"/>
      <c r="ER235" s="175"/>
      <c r="ES235" s="175"/>
      <c r="ET235" s="175"/>
      <c r="EU235" s="175"/>
      <c r="EV235" s="175"/>
      <c r="EW235" s="175"/>
      <c r="EX235" s="175"/>
      <c r="EY235" s="175"/>
      <c r="EZ235" s="175"/>
      <c r="FA235" s="175"/>
      <c r="FB235" s="175"/>
      <c r="FC235" s="175"/>
      <c r="FD235" s="175"/>
      <c r="FE235" s="175"/>
      <c r="FF235" s="175"/>
      <c r="FG235" s="175"/>
      <c r="FH235" s="175"/>
      <c r="FI235" s="175"/>
      <c r="FJ235" s="175"/>
      <c r="FK235" s="175"/>
      <c r="FL235" s="175"/>
      <c r="FM235" s="175"/>
      <c r="FN235" s="175"/>
      <c r="FO235" s="175"/>
      <c r="FP235" s="175"/>
      <c r="FQ235" s="175"/>
      <c r="FR235" s="175"/>
      <c r="FS235" s="175"/>
      <c r="FT235" s="175"/>
      <c r="FU235" s="175"/>
      <c r="FV235" s="175"/>
      <c r="FW235" s="175"/>
      <c r="FX235" s="175"/>
      <c r="FY235" s="175"/>
      <c r="FZ235" s="175"/>
      <c r="GA235" s="175"/>
      <c r="GB235" s="175"/>
      <c r="GC235" s="175"/>
      <c r="GD235" s="175"/>
      <c r="GE235" s="175"/>
      <c r="GF235" s="175"/>
      <c r="GG235" s="175"/>
      <c r="GH235" s="175"/>
      <c r="GI235" s="175"/>
      <c r="GJ235" s="175"/>
      <c r="GK235" s="175"/>
      <c r="GL235" s="175"/>
      <c r="GM235" s="175"/>
      <c r="GN235" s="175"/>
      <c r="GO235" s="175"/>
      <c r="GP235" s="175"/>
      <c r="GQ235" s="175"/>
      <c r="GR235" s="175"/>
      <c r="GS235" s="175"/>
      <c r="GT235" s="175"/>
      <c r="GU235" s="175"/>
      <c r="GV235" s="175"/>
      <c r="GW235" s="175"/>
      <c r="GX235" s="175"/>
      <c r="GY235" s="175"/>
      <c r="GZ235" s="175"/>
      <c r="HA235" s="175"/>
      <c r="HB235" s="175"/>
      <c r="HC235" s="175"/>
      <c r="HD235" s="175"/>
      <c r="HE235" s="175"/>
      <c r="HF235" s="175"/>
      <c r="HG235" s="175"/>
      <c r="HH235" s="175"/>
      <c r="HI235" s="175"/>
      <c r="HJ235" s="175"/>
      <c r="HK235" s="175"/>
      <c r="HL235" s="175"/>
      <c r="HM235" s="175"/>
      <c r="HN235" s="175"/>
      <c r="HO235" s="175"/>
      <c r="HP235" s="175"/>
      <c r="HQ235" s="175"/>
      <c r="HR235" s="175"/>
      <c r="HS235" s="175"/>
      <c r="HT235" s="175"/>
      <c r="HU235" s="175"/>
      <c r="HV235" s="175"/>
      <c r="HW235" s="175"/>
      <c r="HX235" s="175"/>
      <c r="HY235" s="175"/>
      <c r="HZ235" s="175"/>
      <c r="IA235" s="175"/>
      <c r="IB235" s="175"/>
      <c r="IC235" s="175"/>
      <c r="ID235" s="175"/>
      <c r="IE235" s="175"/>
      <c r="IF235" s="175"/>
      <c r="IG235" s="175"/>
      <c r="IH235" s="175"/>
      <c r="II235" s="175"/>
      <c r="IJ235" s="175"/>
      <c r="IK235" s="175"/>
      <c r="IL235" s="175"/>
      <c r="IM235" s="175"/>
      <c r="IN235" s="175"/>
      <c r="IO235" s="175"/>
      <c r="IP235" s="175"/>
      <c r="IQ235" s="175"/>
      <c r="IR235" s="175"/>
      <c r="IS235" s="175"/>
      <c r="IT235" s="175"/>
      <c r="IU235" s="175"/>
      <c r="IV235" s="175"/>
      <c r="IW235" s="175"/>
      <c r="IX235" s="175"/>
      <c r="IY235" s="175"/>
      <c r="IZ235" s="175"/>
      <c r="JA235" s="175"/>
      <c r="JB235" s="175"/>
      <c r="JC235" s="175"/>
      <c r="JD235" s="175"/>
      <c r="JE235" s="175"/>
      <c r="JF235" s="175"/>
      <c r="JG235" s="175"/>
      <c r="JH235" s="175"/>
      <c r="JI235" s="175"/>
      <c r="JJ235" s="175"/>
      <c r="JK235" s="175"/>
      <c r="JL235" s="175"/>
      <c r="JM235" s="175"/>
      <c r="JN235" s="175"/>
      <c r="JO235" s="175"/>
      <c r="JP235" s="175"/>
      <c r="JQ235" s="175"/>
      <c r="JR235" s="175"/>
      <c r="JS235" s="175"/>
      <c r="JT235" s="175"/>
      <c r="JU235" s="175"/>
      <c r="JV235" s="175"/>
      <c r="JW235" s="175"/>
      <c r="JX235" s="175"/>
      <c r="JY235" s="175"/>
      <c r="JZ235" s="175"/>
      <c r="KA235" s="175"/>
      <c r="KB235" s="175"/>
      <c r="KC235" s="175"/>
      <c r="KD235" s="175"/>
      <c r="KE235" s="175"/>
      <c r="KF235" s="175"/>
      <c r="KG235" s="175"/>
      <c r="KH235" s="175"/>
      <c r="KI235" s="175"/>
      <c r="KJ235" s="175"/>
      <c r="KK235" s="175"/>
      <c r="KL235" s="175"/>
      <c r="KM235" s="175"/>
      <c r="KN235" s="175"/>
      <c r="KO235" s="175"/>
      <c r="KP235" s="175"/>
      <c r="KQ235" s="175"/>
      <c r="KR235" s="175"/>
      <c r="KS235" s="175"/>
      <c r="KT235" s="175"/>
      <c r="KU235" s="175"/>
    </row>
    <row r="236" spans="1:307" x14ac:dyDescent="0.2">
      <c r="A236" s="172"/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  <c r="AP236" s="172"/>
      <c r="AQ236" s="172"/>
      <c r="AR236" s="172"/>
      <c r="AS236" s="172"/>
      <c r="AT236" s="172"/>
      <c r="AU236" s="172"/>
      <c r="AV236" s="172"/>
      <c r="AW236" s="172"/>
      <c r="AX236" s="172"/>
      <c r="AY236" s="172"/>
      <c r="AZ236" s="172"/>
      <c r="BA236" s="172"/>
      <c r="BB236" s="172"/>
      <c r="BC236" s="172"/>
      <c r="BD236" s="172"/>
      <c r="BE236" s="172"/>
      <c r="BF236" s="172"/>
      <c r="BG236" s="172"/>
      <c r="BH236" s="172"/>
      <c r="BI236" s="172"/>
      <c r="BJ236" s="172"/>
      <c r="BK236" s="172"/>
      <c r="BL236" s="172"/>
      <c r="BM236" s="172"/>
      <c r="BN236" s="172"/>
      <c r="BO236" s="172"/>
      <c r="BP236" s="172"/>
      <c r="BQ236" s="172"/>
      <c r="BR236" s="172"/>
      <c r="BS236" s="172"/>
      <c r="BT236" s="172"/>
      <c r="BU236" s="172"/>
      <c r="BV236" s="172"/>
      <c r="BW236" s="172"/>
      <c r="BX236" s="175"/>
      <c r="BY236" s="175"/>
      <c r="BZ236" s="175"/>
      <c r="CA236" s="175"/>
      <c r="CB236" s="175"/>
      <c r="CC236" s="175"/>
      <c r="CD236" s="175"/>
      <c r="CE236" s="175"/>
      <c r="CF236" s="175"/>
      <c r="CG236" s="175"/>
      <c r="CH236" s="175"/>
      <c r="CI236" s="175"/>
      <c r="CJ236" s="175"/>
      <c r="CK236" s="175"/>
      <c r="CL236" s="175"/>
      <c r="CM236" s="175"/>
      <c r="CN236" s="175"/>
      <c r="CO236" s="175"/>
      <c r="CP236" s="175"/>
      <c r="CQ236" s="175"/>
      <c r="CR236" s="175"/>
      <c r="CS236" s="175"/>
      <c r="CT236" s="175"/>
      <c r="CU236" s="175"/>
      <c r="CV236" s="175"/>
      <c r="CW236" s="175"/>
      <c r="CX236" s="175"/>
      <c r="CY236" s="175"/>
      <c r="CZ236" s="175"/>
      <c r="DA236" s="175"/>
      <c r="DB236" s="175"/>
      <c r="DC236" s="175"/>
      <c r="DD236" s="175"/>
      <c r="DE236" s="175"/>
      <c r="DF236" s="175"/>
      <c r="DG236" s="175"/>
      <c r="DH236" s="175"/>
      <c r="DI236" s="175"/>
      <c r="DJ236" s="175"/>
      <c r="DK236" s="175"/>
      <c r="DL236" s="175"/>
      <c r="DM236" s="175"/>
      <c r="DN236" s="175"/>
      <c r="DO236" s="175"/>
      <c r="DP236" s="175"/>
      <c r="DQ236" s="175"/>
      <c r="DR236" s="175"/>
      <c r="DS236" s="175"/>
      <c r="DT236" s="175"/>
      <c r="DU236" s="175"/>
      <c r="DV236" s="175"/>
      <c r="DW236" s="175"/>
      <c r="DX236" s="175"/>
      <c r="DY236" s="175"/>
      <c r="DZ236" s="175"/>
      <c r="EA236" s="175"/>
      <c r="EB236" s="175"/>
      <c r="EC236" s="175"/>
      <c r="ED236" s="175"/>
      <c r="EE236" s="175"/>
      <c r="EF236" s="175"/>
      <c r="EG236" s="175"/>
      <c r="EH236" s="175"/>
      <c r="EI236" s="175"/>
      <c r="EJ236" s="175"/>
      <c r="EK236" s="175"/>
      <c r="EL236" s="175"/>
      <c r="EM236" s="175"/>
      <c r="EN236" s="175"/>
      <c r="EO236" s="175"/>
      <c r="EP236" s="175"/>
      <c r="EQ236" s="175"/>
      <c r="ER236" s="175"/>
      <c r="ES236" s="175"/>
      <c r="ET236" s="175"/>
      <c r="EU236" s="175"/>
      <c r="EV236" s="175"/>
      <c r="EW236" s="175"/>
      <c r="EX236" s="175"/>
      <c r="EY236" s="175"/>
      <c r="EZ236" s="175"/>
      <c r="FA236" s="175"/>
      <c r="FB236" s="175"/>
      <c r="FC236" s="175"/>
      <c r="FD236" s="175"/>
      <c r="FE236" s="175"/>
      <c r="FF236" s="175"/>
      <c r="FG236" s="175"/>
      <c r="FH236" s="175"/>
      <c r="FI236" s="175"/>
      <c r="FJ236" s="175"/>
      <c r="FK236" s="175"/>
      <c r="FL236" s="175"/>
      <c r="FM236" s="175"/>
      <c r="FN236" s="175"/>
      <c r="FO236" s="175"/>
      <c r="FP236" s="175"/>
      <c r="FQ236" s="175"/>
      <c r="FR236" s="175"/>
      <c r="FS236" s="175"/>
      <c r="FT236" s="175"/>
      <c r="FU236" s="175"/>
      <c r="FV236" s="175"/>
      <c r="FW236" s="175"/>
      <c r="FX236" s="175"/>
      <c r="FY236" s="175"/>
      <c r="FZ236" s="175"/>
      <c r="GA236" s="175"/>
      <c r="GB236" s="175"/>
      <c r="GC236" s="175"/>
      <c r="GD236" s="175"/>
      <c r="GE236" s="175"/>
      <c r="GF236" s="175"/>
      <c r="GG236" s="175"/>
      <c r="GH236" s="175"/>
      <c r="GI236" s="175"/>
      <c r="GJ236" s="175"/>
      <c r="GK236" s="175"/>
      <c r="GL236" s="175"/>
      <c r="GM236" s="175"/>
      <c r="GN236" s="175"/>
      <c r="GO236" s="175"/>
      <c r="GP236" s="175"/>
      <c r="GQ236" s="175"/>
      <c r="GR236" s="175"/>
      <c r="GS236" s="175"/>
      <c r="GT236" s="175"/>
      <c r="GU236" s="175"/>
      <c r="GV236" s="175"/>
      <c r="GW236" s="175"/>
      <c r="GX236" s="175"/>
      <c r="GY236" s="175"/>
      <c r="GZ236" s="175"/>
      <c r="HA236" s="175"/>
      <c r="HB236" s="175"/>
      <c r="HC236" s="175"/>
      <c r="HD236" s="175"/>
      <c r="HE236" s="175"/>
      <c r="HF236" s="175"/>
      <c r="HG236" s="175"/>
      <c r="HH236" s="175"/>
      <c r="HI236" s="175"/>
      <c r="HJ236" s="175"/>
      <c r="HK236" s="175"/>
      <c r="HL236" s="175"/>
      <c r="HM236" s="175"/>
      <c r="HN236" s="175"/>
      <c r="HO236" s="175"/>
      <c r="HP236" s="175"/>
      <c r="HQ236" s="175"/>
      <c r="HR236" s="175"/>
      <c r="HS236" s="175"/>
      <c r="HT236" s="175"/>
      <c r="HU236" s="175"/>
      <c r="HV236" s="175"/>
      <c r="HW236" s="175"/>
      <c r="HX236" s="175"/>
      <c r="HY236" s="175"/>
      <c r="HZ236" s="175"/>
      <c r="IA236" s="175"/>
      <c r="IB236" s="175"/>
      <c r="IC236" s="175"/>
      <c r="ID236" s="175"/>
      <c r="IE236" s="175"/>
      <c r="IF236" s="175"/>
      <c r="IG236" s="175"/>
      <c r="IH236" s="175"/>
      <c r="II236" s="175"/>
      <c r="IJ236" s="175"/>
      <c r="IK236" s="175"/>
      <c r="IL236" s="175"/>
      <c r="IM236" s="175"/>
      <c r="IN236" s="175"/>
      <c r="IO236" s="175"/>
      <c r="IP236" s="175"/>
      <c r="IQ236" s="175"/>
      <c r="IR236" s="175"/>
      <c r="IS236" s="175"/>
      <c r="IT236" s="175"/>
      <c r="IU236" s="175"/>
      <c r="IV236" s="175"/>
      <c r="IW236" s="175"/>
      <c r="IX236" s="175"/>
      <c r="IY236" s="175"/>
      <c r="IZ236" s="175"/>
      <c r="JA236" s="175"/>
      <c r="JB236" s="175"/>
      <c r="JC236" s="175"/>
      <c r="JD236" s="175"/>
      <c r="JE236" s="175"/>
      <c r="JF236" s="175"/>
      <c r="JG236" s="175"/>
      <c r="JH236" s="175"/>
      <c r="JI236" s="175"/>
      <c r="JJ236" s="175"/>
      <c r="JK236" s="175"/>
      <c r="JL236" s="175"/>
      <c r="JM236" s="175"/>
      <c r="JN236" s="175"/>
      <c r="JO236" s="175"/>
      <c r="JP236" s="175"/>
      <c r="JQ236" s="175"/>
      <c r="JR236" s="175"/>
      <c r="JS236" s="175"/>
      <c r="JT236" s="175"/>
      <c r="JU236" s="175"/>
      <c r="JV236" s="175"/>
      <c r="JW236" s="175"/>
      <c r="JX236" s="175"/>
      <c r="JY236" s="175"/>
      <c r="JZ236" s="175"/>
      <c r="KA236" s="175"/>
      <c r="KB236" s="175"/>
      <c r="KC236" s="175"/>
      <c r="KD236" s="175"/>
      <c r="KE236" s="175"/>
      <c r="KF236" s="175"/>
      <c r="KG236" s="175"/>
      <c r="KH236" s="175"/>
      <c r="KI236" s="175"/>
      <c r="KJ236" s="175"/>
      <c r="KK236" s="175"/>
      <c r="KL236" s="175"/>
      <c r="KM236" s="175"/>
      <c r="KN236" s="175"/>
      <c r="KO236" s="175"/>
      <c r="KP236" s="175"/>
      <c r="KQ236" s="175"/>
      <c r="KR236" s="175"/>
      <c r="KS236" s="175"/>
      <c r="KT236" s="175"/>
      <c r="KU236" s="175"/>
    </row>
    <row r="237" spans="1:307" x14ac:dyDescent="0.2">
      <c r="A237" s="172"/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  <c r="AR237" s="172"/>
      <c r="AS237" s="172"/>
      <c r="AT237" s="172"/>
      <c r="AU237" s="172"/>
      <c r="AV237" s="172"/>
      <c r="AW237" s="172"/>
      <c r="AX237" s="172"/>
      <c r="AY237" s="172"/>
      <c r="AZ237" s="172"/>
      <c r="BA237" s="172"/>
      <c r="BB237" s="172"/>
      <c r="BC237" s="172"/>
      <c r="BD237" s="172"/>
      <c r="BE237" s="172"/>
      <c r="BF237" s="172"/>
      <c r="BG237" s="172"/>
      <c r="BH237" s="172"/>
      <c r="BI237" s="172"/>
      <c r="BJ237" s="172"/>
      <c r="BK237" s="172"/>
      <c r="BL237" s="172"/>
      <c r="BM237" s="172"/>
      <c r="BN237" s="172"/>
      <c r="BO237" s="172"/>
      <c r="BP237" s="172"/>
      <c r="BQ237" s="172"/>
      <c r="BR237" s="172"/>
      <c r="BS237" s="172"/>
      <c r="BT237" s="172"/>
      <c r="BU237" s="172"/>
      <c r="BV237" s="172"/>
      <c r="BW237" s="172"/>
      <c r="BX237" s="175"/>
      <c r="BY237" s="175"/>
      <c r="BZ237" s="175"/>
      <c r="CA237" s="175"/>
      <c r="CB237" s="175"/>
      <c r="CC237" s="175"/>
      <c r="CD237" s="175"/>
      <c r="CE237" s="175"/>
      <c r="CF237" s="175"/>
      <c r="CG237" s="175"/>
      <c r="CH237" s="175"/>
      <c r="CI237" s="175"/>
      <c r="CJ237" s="175"/>
      <c r="CK237" s="175"/>
      <c r="CL237" s="175"/>
      <c r="CM237" s="175"/>
      <c r="CN237" s="175"/>
      <c r="CO237" s="175"/>
      <c r="CP237" s="175"/>
      <c r="CQ237" s="175"/>
      <c r="CR237" s="175"/>
      <c r="CS237" s="175"/>
      <c r="CT237" s="175"/>
      <c r="CU237" s="175"/>
      <c r="CV237" s="175"/>
      <c r="CW237" s="175"/>
      <c r="CX237" s="175"/>
      <c r="CY237" s="175"/>
      <c r="CZ237" s="175"/>
      <c r="DA237" s="175"/>
      <c r="DB237" s="175"/>
      <c r="DC237" s="175"/>
      <c r="DD237" s="175"/>
      <c r="DE237" s="175"/>
      <c r="DF237" s="175"/>
      <c r="DG237" s="175"/>
      <c r="DH237" s="175"/>
      <c r="DI237" s="175"/>
      <c r="DJ237" s="175"/>
      <c r="DK237" s="175"/>
      <c r="DL237" s="175"/>
      <c r="DM237" s="175"/>
      <c r="DN237" s="175"/>
      <c r="DO237" s="175"/>
      <c r="DP237" s="175"/>
      <c r="DQ237" s="175"/>
      <c r="DR237" s="175"/>
      <c r="DS237" s="175"/>
      <c r="DT237" s="175"/>
      <c r="DU237" s="175"/>
      <c r="DV237" s="175"/>
      <c r="DW237" s="175"/>
      <c r="DX237" s="175"/>
      <c r="DY237" s="175"/>
      <c r="DZ237" s="175"/>
      <c r="EA237" s="175"/>
      <c r="EB237" s="175"/>
      <c r="EC237" s="175"/>
      <c r="ED237" s="175"/>
      <c r="EE237" s="175"/>
      <c r="EF237" s="175"/>
      <c r="EG237" s="175"/>
      <c r="EH237" s="175"/>
      <c r="EI237" s="175"/>
      <c r="EJ237" s="175"/>
      <c r="EK237" s="175"/>
      <c r="EL237" s="175"/>
      <c r="EM237" s="175"/>
      <c r="EN237" s="175"/>
      <c r="EO237" s="175"/>
      <c r="EP237" s="175"/>
      <c r="EQ237" s="175"/>
      <c r="ER237" s="175"/>
      <c r="ES237" s="175"/>
      <c r="ET237" s="175"/>
      <c r="EU237" s="175"/>
      <c r="EV237" s="175"/>
      <c r="EW237" s="175"/>
      <c r="EX237" s="175"/>
      <c r="EY237" s="175"/>
      <c r="EZ237" s="175"/>
      <c r="FA237" s="175"/>
      <c r="FB237" s="175"/>
      <c r="FC237" s="175"/>
      <c r="FD237" s="175"/>
      <c r="FE237" s="175"/>
      <c r="FF237" s="175"/>
      <c r="FG237" s="175"/>
      <c r="FH237" s="175"/>
      <c r="FI237" s="175"/>
      <c r="FJ237" s="175"/>
      <c r="FK237" s="175"/>
      <c r="FL237" s="175"/>
      <c r="FM237" s="175"/>
      <c r="FN237" s="175"/>
      <c r="FO237" s="175"/>
      <c r="FP237" s="175"/>
      <c r="FQ237" s="175"/>
      <c r="FR237" s="175"/>
      <c r="FS237" s="175"/>
      <c r="FT237" s="175"/>
      <c r="FU237" s="175"/>
      <c r="FV237" s="175"/>
      <c r="FW237" s="175"/>
      <c r="FX237" s="175"/>
      <c r="FY237" s="175"/>
      <c r="FZ237" s="175"/>
      <c r="GA237" s="175"/>
      <c r="GB237" s="175"/>
      <c r="GC237" s="175"/>
      <c r="GD237" s="175"/>
      <c r="GE237" s="175"/>
      <c r="GF237" s="175"/>
      <c r="GG237" s="175"/>
      <c r="GH237" s="175"/>
      <c r="GI237" s="175"/>
      <c r="GJ237" s="175"/>
      <c r="GK237" s="175"/>
      <c r="GL237" s="175"/>
      <c r="GM237" s="175"/>
      <c r="GN237" s="175"/>
      <c r="GO237" s="175"/>
      <c r="GP237" s="175"/>
      <c r="GQ237" s="175"/>
      <c r="GR237" s="175"/>
      <c r="GS237" s="175"/>
      <c r="GT237" s="175"/>
      <c r="GU237" s="175"/>
      <c r="GV237" s="175"/>
      <c r="GW237" s="175"/>
      <c r="GX237" s="175"/>
      <c r="GY237" s="175"/>
      <c r="GZ237" s="175"/>
      <c r="HA237" s="175"/>
      <c r="HB237" s="175"/>
      <c r="HC237" s="175"/>
      <c r="HD237" s="175"/>
      <c r="HE237" s="175"/>
      <c r="HF237" s="175"/>
      <c r="HG237" s="175"/>
      <c r="HH237" s="175"/>
      <c r="HI237" s="175"/>
      <c r="HJ237" s="175"/>
      <c r="HK237" s="175"/>
      <c r="HL237" s="175"/>
      <c r="HM237" s="175"/>
      <c r="HN237" s="175"/>
      <c r="HO237" s="175"/>
      <c r="HP237" s="175"/>
      <c r="HQ237" s="175"/>
      <c r="HR237" s="175"/>
      <c r="HS237" s="175"/>
      <c r="HT237" s="175"/>
      <c r="HU237" s="175"/>
      <c r="HV237" s="175"/>
      <c r="HW237" s="175"/>
      <c r="HX237" s="175"/>
      <c r="HY237" s="175"/>
      <c r="HZ237" s="175"/>
      <c r="IA237" s="175"/>
      <c r="IB237" s="175"/>
      <c r="IC237" s="175"/>
      <c r="ID237" s="175"/>
      <c r="IE237" s="175"/>
      <c r="IF237" s="175"/>
      <c r="IG237" s="175"/>
      <c r="IH237" s="175"/>
      <c r="II237" s="175"/>
      <c r="IJ237" s="175"/>
      <c r="IK237" s="175"/>
      <c r="IL237" s="175"/>
      <c r="IM237" s="175"/>
      <c r="IN237" s="175"/>
      <c r="IO237" s="175"/>
      <c r="IP237" s="175"/>
      <c r="IQ237" s="175"/>
      <c r="IR237" s="175"/>
      <c r="IS237" s="175"/>
      <c r="IT237" s="175"/>
      <c r="IU237" s="175"/>
      <c r="IV237" s="175"/>
      <c r="IW237" s="175"/>
      <c r="IX237" s="175"/>
      <c r="IY237" s="175"/>
      <c r="IZ237" s="175"/>
      <c r="JA237" s="175"/>
      <c r="JB237" s="175"/>
      <c r="JC237" s="175"/>
      <c r="JD237" s="175"/>
      <c r="JE237" s="175"/>
      <c r="JF237" s="175"/>
      <c r="JG237" s="175"/>
      <c r="JH237" s="175"/>
      <c r="JI237" s="175"/>
      <c r="JJ237" s="175"/>
      <c r="JK237" s="175"/>
      <c r="JL237" s="175"/>
      <c r="JM237" s="175"/>
      <c r="JN237" s="175"/>
      <c r="JO237" s="175"/>
      <c r="JP237" s="175"/>
      <c r="JQ237" s="175"/>
      <c r="JR237" s="175"/>
      <c r="JS237" s="175"/>
      <c r="JT237" s="175"/>
      <c r="JU237" s="175"/>
      <c r="JV237" s="175"/>
      <c r="JW237" s="175"/>
      <c r="JX237" s="175"/>
      <c r="JY237" s="175"/>
      <c r="JZ237" s="175"/>
      <c r="KA237" s="175"/>
      <c r="KB237" s="175"/>
      <c r="KC237" s="175"/>
      <c r="KD237" s="175"/>
      <c r="KE237" s="175"/>
      <c r="KF237" s="175"/>
      <c r="KG237" s="175"/>
      <c r="KH237" s="175"/>
      <c r="KI237" s="175"/>
      <c r="KJ237" s="175"/>
      <c r="KK237" s="175"/>
      <c r="KL237" s="175"/>
      <c r="KM237" s="175"/>
      <c r="KN237" s="175"/>
      <c r="KO237" s="175"/>
      <c r="KP237" s="175"/>
      <c r="KQ237" s="175"/>
      <c r="KR237" s="175"/>
      <c r="KS237" s="175"/>
      <c r="KT237" s="175"/>
      <c r="KU237" s="175"/>
    </row>
    <row r="238" spans="1:307" x14ac:dyDescent="0.2">
      <c r="A238" s="172"/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  <c r="AP238" s="172"/>
      <c r="AQ238" s="172"/>
      <c r="AR238" s="172"/>
      <c r="AS238" s="172"/>
      <c r="AT238" s="172"/>
      <c r="AU238" s="172"/>
      <c r="AV238" s="172"/>
      <c r="AW238" s="172"/>
      <c r="AX238" s="172"/>
      <c r="AY238" s="172"/>
      <c r="AZ238" s="172"/>
      <c r="BA238" s="172"/>
      <c r="BB238" s="172"/>
      <c r="BC238" s="172"/>
      <c r="BD238" s="172"/>
      <c r="BE238" s="172"/>
      <c r="BF238" s="172"/>
      <c r="BG238" s="172"/>
      <c r="BH238" s="172"/>
      <c r="BI238" s="172"/>
      <c r="BJ238" s="172"/>
      <c r="BK238" s="172"/>
      <c r="BL238" s="172"/>
      <c r="BM238" s="172"/>
      <c r="BN238" s="172"/>
      <c r="BO238" s="172"/>
      <c r="BP238" s="172"/>
      <c r="BQ238" s="172"/>
      <c r="BR238" s="172"/>
      <c r="BS238" s="172"/>
      <c r="BT238" s="172"/>
      <c r="BU238" s="172"/>
      <c r="BV238" s="172"/>
      <c r="BW238" s="172"/>
      <c r="BX238" s="175"/>
      <c r="BY238" s="175"/>
      <c r="BZ238" s="175"/>
      <c r="CA238" s="175"/>
      <c r="CB238" s="175"/>
      <c r="CC238" s="175"/>
      <c r="CD238" s="175"/>
      <c r="CE238" s="175"/>
      <c r="CF238" s="175"/>
      <c r="CG238" s="175"/>
      <c r="CH238" s="175"/>
      <c r="CI238" s="175"/>
      <c r="CJ238" s="175"/>
      <c r="CK238" s="175"/>
      <c r="CL238" s="175"/>
      <c r="CM238" s="175"/>
      <c r="CN238" s="175"/>
      <c r="CO238" s="175"/>
      <c r="CP238" s="175"/>
      <c r="CQ238" s="175"/>
      <c r="CR238" s="175"/>
      <c r="CS238" s="175"/>
      <c r="CT238" s="175"/>
      <c r="CU238" s="175"/>
      <c r="CV238" s="175"/>
      <c r="CW238" s="175"/>
      <c r="CX238" s="175"/>
      <c r="CY238" s="175"/>
      <c r="CZ238" s="175"/>
      <c r="DA238" s="175"/>
      <c r="DB238" s="175"/>
      <c r="DC238" s="175"/>
      <c r="DD238" s="175"/>
      <c r="DE238" s="175"/>
      <c r="DF238" s="175"/>
      <c r="DG238" s="175"/>
      <c r="DH238" s="175"/>
      <c r="DI238" s="175"/>
      <c r="DJ238" s="175"/>
      <c r="DK238" s="175"/>
      <c r="DL238" s="175"/>
      <c r="DM238" s="175"/>
      <c r="DN238" s="175"/>
      <c r="DO238" s="175"/>
      <c r="DP238" s="175"/>
      <c r="DQ238" s="175"/>
      <c r="DR238" s="175"/>
      <c r="DS238" s="175"/>
      <c r="DT238" s="175"/>
      <c r="DU238" s="175"/>
      <c r="DV238" s="175"/>
      <c r="DW238" s="175"/>
      <c r="DX238" s="175"/>
      <c r="DY238" s="175"/>
      <c r="DZ238" s="175"/>
      <c r="EA238" s="175"/>
      <c r="EB238" s="175"/>
      <c r="EC238" s="175"/>
      <c r="ED238" s="175"/>
      <c r="EE238" s="175"/>
      <c r="EF238" s="175"/>
      <c r="EG238" s="175"/>
      <c r="EH238" s="175"/>
      <c r="EI238" s="175"/>
      <c r="EJ238" s="175"/>
      <c r="EK238" s="175"/>
      <c r="EL238" s="175"/>
      <c r="EM238" s="175"/>
      <c r="EN238" s="175"/>
      <c r="EO238" s="175"/>
      <c r="EP238" s="175"/>
      <c r="EQ238" s="175"/>
      <c r="ER238" s="175"/>
      <c r="ES238" s="175"/>
      <c r="ET238" s="175"/>
      <c r="EU238" s="175"/>
      <c r="EV238" s="175"/>
      <c r="EW238" s="175"/>
      <c r="EX238" s="175"/>
      <c r="EY238" s="175"/>
      <c r="EZ238" s="175"/>
      <c r="FA238" s="175"/>
      <c r="FB238" s="175"/>
      <c r="FC238" s="175"/>
      <c r="FD238" s="175"/>
      <c r="FE238" s="175"/>
      <c r="FF238" s="175"/>
      <c r="FG238" s="175"/>
      <c r="FH238" s="175"/>
      <c r="FI238" s="175"/>
      <c r="FJ238" s="175"/>
      <c r="FK238" s="175"/>
      <c r="FL238" s="175"/>
      <c r="FM238" s="175"/>
      <c r="FN238" s="175"/>
      <c r="FO238" s="175"/>
      <c r="FP238" s="175"/>
      <c r="FQ238" s="175"/>
      <c r="FR238" s="175"/>
      <c r="FS238" s="175"/>
      <c r="FT238" s="175"/>
      <c r="FU238" s="175"/>
      <c r="FV238" s="175"/>
      <c r="FW238" s="175"/>
      <c r="FX238" s="175"/>
      <c r="FY238" s="175"/>
      <c r="FZ238" s="175"/>
      <c r="GA238" s="175"/>
      <c r="GB238" s="175"/>
      <c r="GC238" s="175"/>
      <c r="GD238" s="175"/>
      <c r="GE238" s="175"/>
      <c r="GF238" s="175"/>
      <c r="GG238" s="175"/>
      <c r="GH238" s="175"/>
      <c r="GI238" s="175"/>
      <c r="GJ238" s="175"/>
      <c r="GK238" s="175"/>
      <c r="GL238" s="175"/>
      <c r="GM238" s="175"/>
      <c r="GN238" s="175"/>
      <c r="GO238" s="175"/>
      <c r="GP238" s="175"/>
      <c r="GQ238" s="175"/>
      <c r="GR238" s="175"/>
      <c r="GS238" s="175"/>
      <c r="GT238" s="175"/>
      <c r="GU238" s="175"/>
      <c r="GV238" s="175"/>
      <c r="GW238" s="175"/>
      <c r="GX238" s="175"/>
      <c r="GY238" s="175"/>
      <c r="GZ238" s="175"/>
      <c r="HA238" s="175"/>
      <c r="HB238" s="175"/>
      <c r="HC238" s="175"/>
      <c r="HD238" s="175"/>
      <c r="HE238" s="175"/>
      <c r="HF238" s="175"/>
      <c r="HG238" s="175"/>
      <c r="HH238" s="175"/>
      <c r="HI238" s="175"/>
      <c r="HJ238" s="175"/>
      <c r="HK238" s="175"/>
      <c r="HL238" s="175"/>
      <c r="HM238" s="175"/>
      <c r="HN238" s="175"/>
      <c r="HO238" s="175"/>
      <c r="HP238" s="175"/>
      <c r="HQ238" s="175"/>
      <c r="HR238" s="175"/>
      <c r="HS238" s="175"/>
      <c r="HT238" s="175"/>
      <c r="HU238" s="175"/>
      <c r="HV238" s="175"/>
      <c r="HW238" s="175"/>
      <c r="HX238" s="175"/>
      <c r="HY238" s="175"/>
      <c r="HZ238" s="175"/>
      <c r="IA238" s="175"/>
      <c r="IB238" s="175"/>
      <c r="IC238" s="175"/>
      <c r="ID238" s="175"/>
      <c r="IE238" s="175"/>
      <c r="IF238" s="175"/>
      <c r="IG238" s="175"/>
      <c r="IH238" s="175"/>
      <c r="II238" s="175"/>
      <c r="IJ238" s="175"/>
      <c r="IK238" s="175"/>
      <c r="IL238" s="175"/>
      <c r="IM238" s="175"/>
      <c r="IN238" s="175"/>
      <c r="IO238" s="175"/>
      <c r="IP238" s="175"/>
      <c r="IQ238" s="175"/>
      <c r="IR238" s="175"/>
      <c r="IS238" s="175"/>
      <c r="IT238" s="175"/>
      <c r="IU238" s="175"/>
      <c r="IV238" s="175"/>
      <c r="IW238" s="175"/>
      <c r="IX238" s="175"/>
      <c r="IY238" s="175"/>
      <c r="IZ238" s="175"/>
      <c r="JA238" s="175"/>
      <c r="JB238" s="175"/>
      <c r="JC238" s="175"/>
      <c r="JD238" s="175"/>
      <c r="JE238" s="175"/>
      <c r="JF238" s="175"/>
      <c r="JG238" s="175"/>
      <c r="JH238" s="175"/>
      <c r="JI238" s="175"/>
      <c r="JJ238" s="175"/>
      <c r="JK238" s="175"/>
      <c r="JL238" s="175"/>
      <c r="JM238" s="175"/>
      <c r="JN238" s="175"/>
      <c r="JO238" s="175"/>
      <c r="JP238" s="175"/>
      <c r="JQ238" s="175"/>
      <c r="JR238" s="175"/>
      <c r="JS238" s="175"/>
      <c r="JT238" s="175"/>
      <c r="JU238" s="175"/>
      <c r="JV238" s="175"/>
      <c r="JW238" s="175"/>
      <c r="JX238" s="175"/>
      <c r="JY238" s="175"/>
      <c r="JZ238" s="175"/>
      <c r="KA238" s="175"/>
      <c r="KB238" s="175"/>
      <c r="KC238" s="175"/>
      <c r="KD238" s="175"/>
      <c r="KE238" s="175"/>
      <c r="KF238" s="175"/>
      <c r="KG238" s="175"/>
      <c r="KH238" s="175"/>
      <c r="KI238" s="175"/>
      <c r="KJ238" s="175"/>
      <c r="KK238" s="175"/>
      <c r="KL238" s="175"/>
      <c r="KM238" s="175"/>
      <c r="KN238" s="175"/>
      <c r="KO238" s="175"/>
      <c r="KP238" s="175"/>
      <c r="KQ238" s="175"/>
      <c r="KR238" s="175"/>
      <c r="KS238" s="175"/>
      <c r="KT238" s="175"/>
      <c r="KU238" s="175"/>
    </row>
    <row r="239" spans="1:307" x14ac:dyDescent="0.2">
      <c r="A239" s="172"/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72"/>
      <c r="AR239" s="172"/>
      <c r="AS239" s="172"/>
      <c r="AT239" s="172"/>
      <c r="AU239" s="172"/>
      <c r="AV239" s="172"/>
      <c r="AW239" s="172"/>
      <c r="AX239" s="172"/>
      <c r="AY239" s="172"/>
      <c r="AZ239" s="172"/>
      <c r="BA239" s="172"/>
      <c r="BB239" s="172"/>
      <c r="BC239" s="172"/>
      <c r="BD239" s="172"/>
      <c r="BE239" s="172"/>
      <c r="BF239" s="172"/>
      <c r="BG239" s="172"/>
      <c r="BH239" s="172"/>
      <c r="BI239" s="172"/>
      <c r="BJ239" s="172"/>
      <c r="BK239" s="172"/>
      <c r="BL239" s="172"/>
      <c r="BM239" s="172"/>
      <c r="BN239" s="172"/>
      <c r="BO239" s="172"/>
      <c r="BP239" s="172"/>
      <c r="BQ239" s="172"/>
      <c r="BR239" s="172"/>
      <c r="BS239" s="172"/>
      <c r="BT239" s="172"/>
      <c r="BU239" s="172"/>
      <c r="BV239" s="172"/>
      <c r="BW239" s="172"/>
      <c r="BX239" s="175"/>
      <c r="BY239" s="175"/>
      <c r="BZ239" s="175"/>
      <c r="CA239" s="175"/>
      <c r="CB239" s="175"/>
      <c r="CC239" s="175"/>
      <c r="CD239" s="175"/>
      <c r="CE239" s="175"/>
      <c r="CF239" s="175"/>
      <c r="CG239" s="175"/>
      <c r="CH239" s="175"/>
      <c r="CI239" s="175"/>
      <c r="CJ239" s="175"/>
      <c r="CK239" s="175"/>
      <c r="CL239" s="175"/>
      <c r="CM239" s="175"/>
      <c r="CN239" s="175"/>
      <c r="CO239" s="175"/>
      <c r="CP239" s="175"/>
      <c r="CQ239" s="175"/>
      <c r="CR239" s="175"/>
      <c r="CS239" s="175"/>
      <c r="CT239" s="175"/>
      <c r="CU239" s="175"/>
      <c r="CV239" s="175"/>
      <c r="CW239" s="175"/>
      <c r="CX239" s="175"/>
      <c r="CY239" s="175"/>
      <c r="CZ239" s="175"/>
      <c r="DA239" s="175"/>
      <c r="DB239" s="175"/>
      <c r="DC239" s="175"/>
      <c r="DD239" s="175"/>
      <c r="DE239" s="175"/>
      <c r="DF239" s="175"/>
      <c r="DG239" s="175"/>
      <c r="DH239" s="175"/>
      <c r="DI239" s="175"/>
      <c r="DJ239" s="175"/>
      <c r="DK239" s="175"/>
      <c r="DL239" s="175"/>
      <c r="DM239" s="175"/>
      <c r="DN239" s="175"/>
      <c r="DO239" s="175"/>
      <c r="DP239" s="175"/>
      <c r="DQ239" s="175"/>
      <c r="DR239" s="175"/>
      <c r="DS239" s="175"/>
      <c r="DT239" s="175"/>
      <c r="DU239" s="175"/>
      <c r="DV239" s="175"/>
      <c r="DW239" s="175"/>
      <c r="DX239" s="175"/>
      <c r="DY239" s="175"/>
      <c r="DZ239" s="175"/>
      <c r="EA239" s="175"/>
      <c r="EB239" s="175"/>
      <c r="EC239" s="175"/>
      <c r="ED239" s="175"/>
      <c r="EE239" s="175"/>
      <c r="EF239" s="175"/>
      <c r="EG239" s="175"/>
      <c r="EH239" s="175"/>
      <c r="EI239" s="175"/>
      <c r="EJ239" s="175"/>
      <c r="EK239" s="175"/>
      <c r="EL239" s="175"/>
      <c r="EM239" s="175"/>
      <c r="EN239" s="175"/>
      <c r="EO239" s="175"/>
      <c r="EP239" s="175"/>
      <c r="EQ239" s="175"/>
      <c r="ER239" s="175"/>
      <c r="ES239" s="175"/>
      <c r="ET239" s="175"/>
      <c r="EU239" s="175"/>
      <c r="EV239" s="175"/>
      <c r="EW239" s="175"/>
      <c r="EX239" s="175"/>
      <c r="EY239" s="175"/>
      <c r="EZ239" s="175"/>
      <c r="FA239" s="175"/>
      <c r="FB239" s="175"/>
      <c r="FC239" s="175"/>
      <c r="FD239" s="175"/>
      <c r="FE239" s="175"/>
      <c r="FF239" s="175"/>
      <c r="FG239" s="175"/>
      <c r="FH239" s="175"/>
      <c r="FI239" s="175"/>
      <c r="FJ239" s="175"/>
      <c r="FK239" s="175"/>
      <c r="FL239" s="175"/>
      <c r="FM239" s="175"/>
      <c r="FN239" s="175"/>
      <c r="FO239" s="175"/>
      <c r="FP239" s="175"/>
      <c r="FQ239" s="175"/>
      <c r="FR239" s="175"/>
      <c r="FS239" s="175"/>
      <c r="FT239" s="175"/>
      <c r="FU239" s="175"/>
      <c r="FV239" s="175"/>
      <c r="FW239" s="175"/>
      <c r="FX239" s="175"/>
      <c r="FY239" s="175"/>
      <c r="FZ239" s="175"/>
      <c r="GA239" s="175"/>
      <c r="GB239" s="175"/>
      <c r="GC239" s="175"/>
      <c r="GD239" s="175"/>
      <c r="GE239" s="175"/>
      <c r="GF239" s="175"/>
      <c r="GG239" s="175"/>
      <c r="GH239" s="175"/>
      <c r="GI239" s="175"/>
      <c r="GJ239" s="175"/>
      <c r="GK239" s="175"/>
      <c r="GL239" s="175"/>
      <c r="GM239" s="175"/>
      <c r="GN239" s="175"/>
      <c r="GO239" s="175"/>
      <c r="GP239" s="175"/>
      <c r="GQ239" s="175"/>
      <c r="GR239" s="175"/>
      <c r="GS239" s="175"/>
      <c r="GT239" s="175"/>
      <c r="GU239" s="175"/>
      <c r="GV239" s="175"/>
      <c r="GW239" s="175"/>
      <c r="GX239" s="175"/>
      <c r="GY239" s="175"/>
      <c r="GZ239" s="175"/>
      <c r="HA239" s="175"/>
      <c r="HB239" s="175"/>
      <c r="HC239" s="175"/>
      <c r="HD239" s="175"/>
      <c r="HE239" s="175"/>
      <c r="HF239" s="175"/>
      <c r="HG239" s="175"/>
      <c r="HH239" s="175"/>
      <c r="HI239" s="175"/>
      <c r="HJ239" s="175"/>
      <c r="HK239" s="175"/>
      <c r="HL239" s="175"/>
      <c r="HM239" s="175"/>
      <c r="HN239" s="175"/>
      <c r="HO239" s="175"/>
      <c r="HP239" s="175"/>
      <c r="HQ239" s="175"/>
      <c r="HR239" s="175"/>
      <c r="HS239" s="175"/>
      <c r="HT239" s="175"/>
      <c r="HU239" s="175"/>
      <c r="HV239" s="175"/>
      <c r="HW239" s="175"/>
      <c r="HX239" s="175"/>
      <c r="HY239" s="175"/>
      <c r="HZ239" s="175"/>
      <c r="IA239" s="175"/>
      <c r="IB239" s="175"/>
      <c r="IC239" s="175"/>
      <c r="ID239" s="175"/>
      <c r="IE239" s="175"/>
      <c r="IF239" s="175"/>
      <c r="IG239" s="175"/>
      <c r="IH239" s="175"/>
      <c r="II239" s="175"/>
      <c r="IJ239" s="175"/>
      <c r="IK239" s="175"/>
      <c r="IL239" s="175"/>
      <c r="IM239" s="175"/>
      <c r="IN239" s="175"/>
      <c r="IO239" s="175"/>
      <c r="IP239" s="175"/>
      <c r="IQ239" s="175"/>
      <c r="IR239" s="175"/>
      <c r="IS239" s="175"/>
      <c r="IT239" s="175"/>
      <c r="IU239" s="175"/>
      <c r="IV239" s="175"/>
      <c r="IW239" s="175"/>
      <c r="IX239" s="175"/>
      <c r="IY239" s="175"/>
      <c r="IZ239" s="175"/>
      <c r="JA239" s="175"/>
      <c r="JB239" s="175"/>
      <c r="JC239" s="175"/>
      <c r="JD239" s="175"/>
      <c r="JE239" s="175"/>
      <c r="JF239" s="175"/>
      <c r="JG239" s="175"/>
      <c r="JH239" s="175"/>
      <c r="JI239" s="175"/>
      <c r="JJ239" s="175"/>
      <c r="JK239" s="175"/>
      <c r="JL239" s="175"/>
      <c r="JM239" s="175"/>
      <c r="JN239" s="175"/>
      <c r="JO239" s="175"/>
      <c r="JP239" s="175"/>
      <c r="JQ239" s="175"/>
      <c r="JR239" s="175"/>
      <c r="JS239" s="175"/>
      <c r="JT239" s="175"/>
      <c r="JU239" s="175"/>
      <c r="JV239" s="175"/>
      <c r="JW239" s="175"/>
      <c r="JX239" s="175"/>
      <c r="JY239" s="175"/>
      <c r="JZ239" s="175"/>
      <c r="KA239" s="175"/>
      <c r="KB239" s="175"/>
      <c r="KC239" s="175"/>
      <c r="KD239" s="175"/>
      <c r="KE239" s="175"/>
      <c r="KF239" s="175"/>
      <c r="KG239" s="175"/>
      <c r="KH239" s="175"/>
      <c r="KI239" s="175"/>
      <c r="KJ239" s="175"/>
      <c r="KK239" s="175"/>
      <c r="KL239" s="175"/>
      <c r="KM239" s="175"/>
      <c r="KN239" s="175"/>
      <c r="KO239" s="175"/>
      <c r="KP239" s="175"/>
      <c r="KQ239" s="175"/>
      <c r="KR239" s="175"/>
      <c r="KS239" s="175"/>
      <c r="KT239" s="175"/>
      <c r="KU239" s="175"/>
    </row>
    <row r="240" spans="1:307" x14ac:dyDescent="0.2">
      <c r="A240" s="172"/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172"/>
      <c r="AR240" s="172"/>
      <c r="AS240" s="172"/>
      <c r="AT240" s="172"/>
      <c r="AU240" s="172"/>
      <c r="AV240" s="172"/>
      <c r="AW240" s="172"/>
      <c r="AX240" s="172"/>
      <c r="AY240" s="172"/>
      <c r="AZ240" s="172"/>
      <c r="BA240" s="172"/>
      <c r="BB240" s="172"/>
      <c r="BC240" s="172"/>
      <c r="BD240" s="172"/>
      <c r="BE240" s="172"/>
      <c r="BF240" s="172"/>
      <c r="BG240" s="172"/>
      <c r="BH240" s="172"/>
      <c r="BI240" s="172"/>
      <c r="BJ240" s="172"/>
      <c r="BK240" s="172"/>
      <c r="BL240" s="172"/>
      <c r="BM240" s="172"/>
      <c r="BN240" s="172"/>
      <c r="BO240" s="172"/>
      <c r="BP240" s="172"/>
      <c r="BQ240" s="172"/>
      <c r="BR240" s="172"/>
      <c r="BS240" s="172"/>
      <c r="BT240" s="172"/>
      <c r="BU240" s="172"/>
      <c r="BV240" s="172"/>
      <c r="BW240" s="172"/>
      <c r="BX240" s="175"/>
      <c r="BY240" s="175"/>
      <c r="BZ240" s="175"/>
      <c r="CA240" s="175"/>
      <c r="CB240" s="175"/>
      <c r="CC240" s="175"/>
      <c r="CD240" s="175"/>
      <c r="CE240" s="175"/>
      <c r="CF240" s="175"/>
      <c r="CG240" s="175"/>
      <c r="CH240" s="175"/>
      <c r="CI240" s="175"/>
      <c r="CJ240" s="175"/>
      <c r="CK240" s="175"/>
      <c r="CL240" s="175"/>
      <c r="CM240" s="175"/>
      <c r="CN240" s="175"/>
      <c r="CO240" s="175"/>
      <c r="CP240" s="175"/>
      <c r="CQ240" s="175"/>
      <c r="CR240" s="175"/>
      <c r="CS240" s="175"/>
      <c r="CT240" s="175"/>
      <c r="CU240" s="175"/>
      <c r="CV240" s="175"/>
      <c r="CW240" s="175"/>
      <c r="CX240" s="175"/>
      <c r="CY240" s="175"/>
      <c r="CZ240" s="175"/>
      <c r="DA240" s="175"/>
      <c r="DB240" s="175"/>
      <c r="DC240" s="175"/>
      <c r="DD240" s="175"/>
      <c r="DE240" s="175"/>
      <c r="DF240" s="175"/>
      <c r="DG240" s="175"/>
      <c r="DH240" s="175"/>
      <c r="DI240" s="175"/>
      <c r="DJ240" s="175"/>
      <c r="DK240" s="175"/>
      <c r="DL240" s="175"/>
      <c r="DM240" s="175"/>
      <c r="DN240" s="175"/>
      <c r="DO240" s="175"/>
      <c r="DP240" s="175"/>
      <c r="DQ240" s="175"/>
      <c r="DR240" s="175"/>
      <c r="DS240" s="175"/>
      <c r="DT240" s="175"/>
      <c r="DU240" s="175"/>
      <c r="DV240" s="175"/>
      <c r="DW240" s="175"/>
      <c r="DX240" s="175"/>
      <c r="DY240" s="175"/>
      <c r="DZ240" s="175"/>
      <c r="EA240" s="175"/>
      <c r="EB240" s="175"/>
      <c r="EC240" s="175"/>
      <c r="ED240" s="175"/>
      <c r="EE240" s="175"/>
      <c r="EF240" s="175"/>
      <c r="EG240" s="175"/>
      <c r="EH240" s="175"/>
      <c r="EI240" s="175"/>
      <c r="EJ240" s="175"/>
      <c r="EK240" s="175"/>
      <c r="EL240" s="175"/>
      <c r="EM240" s="175"/>
      <c r="EN240" s="175"/>
      <c r="EO240" s="175"/>
      <c r="EP240" s="175"/>
      <c r="EQ240" s="175"/>
      <c r="ER240" s="175"/>
      <c r="ES240" s="175"/>
      <c r="ET240" s="175"/>
      <c r="EU240" s="175"/>
      <c r="EV240" s="175"/>
      <c r="EW240" s="175"/>
      <c r="EX240" s="175"/>
      <c r="EY240" s="175"/>
      <c r="EZ240" s="175"/>
      <c r="FA240" s="175"/>
      <c r="FB240" s="175"/>
      <c r="FC240" s="175"/>
      <c r="FD240" s="175"/>
      <c r="FE240" s="175"/>
      <c r="FF240" s="175"/>
      <c r="FG240" s="175"/>
      <c r="FH240" s="175"/>
      <c r="FI240" s="175"/>
      <c r="FJ240" s="175"/>
      <c r="FK240" s="175"/>
      <c r="FL240" s="175"/>
      <c r="FM240" s="175"/>
      <c r="FN240" s="175"/>
      <c r="FO240" s="175"/>
      <c r="FP240" s="175"/>
      <c r="FQ240" s="175"/>
      <c r="FR240" s="175"/>
      <c r="FS240" s="175"/>
      <c r="FT240" s="175"/>
      <c r="FU240" s="175"/>
      <c r="FV240" s="175"/>
      <c r="FW240" s="175"/>
      <c r="FX240" s="175"/>
      <c r="FY240" s="175"/>
      <c r="FZ240" s="175"/>
      <c r="GA240" s="175"/>
      <c r="GB240" s="175"/>
      <c r="GC240" s="175"/>
      <c r="GD240" s="175"/>
      <c r="GE240" s="175"/>
      <c r="GF240" s="175"/>
      <c r="GG240" s="175"/>
      <c r="GH240" s="175"/>
      <c r="GI240" s="175"/>
      <c r="GJ240" s="175"/>
      <c r="GK240" s="175"/>
      <c r="GL240" s="175"/>
      <c r="GM240" s="175"/>
      <c r="GN240" s="175"/>
      <c r="GO240" s="175"/>
      <c r="GP240" s="175"/>
      <c r="GQ240" s="175"/>
      <c r="GR240" s="175"/>
      <c r="GS240" s="175"/>
      <c r="GT240" s="175"/>
      <c r="GU240" s="175"/>
      <c r="GV240" s="175"/>
      <c r="GW240" s="175"/>
      <c r="GX240" s="175"/>
      <c r="GY240" s="175"/>
      <c r="GZ240" s="175"/>
      <c r="HA240" s="175"/>
      <c r="HB240" s="175"/>
      <c r="HC240" s="175"/>
      <c r="HD240" s="175"/>
      <c r="HE240" s="175"/>
      <c r="HF240" s="175"/>
      <c r="HG240" s="175"/>
      <c r="HH240" s="175"/>
      <c r="HI240" s="175"/>
      <c r="HJ240" s="175"/>
      <c r="HK240" s="175"/>
      <c r="HL240" s="175"/>
      <c r="HM240" s="175"/>
      <c r="HN240" s="175"/>
      <c r="HO240" s="175"/>
      <c r="HP240" s="175"/>
      <c r="HQ240" s="175"/>
      <c r="HR240" s="175"/>
      <c r="HS240" s="175"/>
      <c r="HT240" s="175"/>
      <c r="HU240" s="175"/>
      <c r="HV240" s="175"/>
      <c r="HW240" s="175"/>
      <c r="HX240" s="175"/>
      <c r="HY240" s="175"/>
      <c r="HZ240" s="175"/>
      <c r="IA240" s="175"/>
      <c r="IB240" s="175"/>
      <c r="IC240" s="175"/>
      <c r="ID240" s="175"/>
      <c r="IE240" s="175"/>
      <c r="IF240" s="175"/>
      <c r="IG240" s="175"/>
      <c r="IH240" s="175"/>
      <c r="II240" s="175"/>
      <c r="IJ240" s="175"/>
      <c r="IK240" s="175"/>
      <c r="IL240" s="175"/>
      <c r="IM240" s="175"/>
      <c r="IN240" s="175"/>
      <c r="IO240" s="175"/>
      <c r="IP240" s="175"/>
      <c r="IQ240" s="175"/>
      <c r="IR240" s="175"/>
      <c r="IS240" s="175"/>
      <c r="IT240" s="175"/>
      <c r="IU240" s="175"/>
      <c r="IV240" s="175"/>
      <c r="IW240" s="175"/>
      <c r="IX240" s="175"/>
      <c r="IY240" s="175"/>
      <c r="IZ240" s="175"/>
      <c r="JA240" s="175"/>
      <c r="JB240" s="175"/>
      <c r="JC240" s="175"/>
      <c r="JD240" s="175"/>
      <c r="JE240" s="175"/>
      <c r="JF240" s="175"/>
      <c r="JG240" s="175"/>
      <c r="JH240" s="175"/>
      <c r="JI240" s="175"/>
      <c r="JJ240" s="175"/>
      <c r="JK240" s="175"/>
      <c r="JL240" s="175"/>
      <c r="JM240" s="175"/>
      <c r="JN240" s="175"/>
      <c r="JO240" s="175"/>
      <c r="JP240" s="175"/>
      <c r="JQ240" s="175"/>
      <c r="JR240" s="175"/>
      <c r="JS240" s="175"/>
      <c r="JT240" s="175"/>
      <c r="JU240" s="175"/>
      <c r="JV240" s="175"/>
      <c r="JW240" s="175"/>
      <c r="JX240" s="175"/>
      <c r="JY240" s="175"/>
      <c r="JZ240" s="175"/>
      <c r="KA240" s="175"/>
      <c r="KB240" s="175"/>
      <c r="KC240" s="175"/>
      <c r="KD240" s="175"/>
      <c r="KE240" s="175"/>
      <c r="KF240" s="175"/>
      <c r="KG240" s="175"/>
      <c r="KH240" s="175"/>
      <c r="KI240" s="175"/>
      <c r="KJ240" s="175"/>
      <c r="KK240" s="175"/>
      <c r="KL240" s="175"/>
      <c r="KM240" s="175"/>
      <c r="KN240" s="175"/>
      <c r="KO240" s="175"/>
      <c r="KP240" s="175"/>
      <c r="KQ240" s="175"/>
      <c r="KR240" s="175"/>
      <c r="KS240" s="175"/>
      <c r="KT240" s="175"/>
      <c r="KU240" s="175"/>
    </row>
    <row r="241" spans="1:307" x14ac:dyDescent="0.2">
      <c r="A241" s="172"/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  <c r="AP241" s="172"/>
      <c r="AQ241" s="172"/>
      <c r="AR241" s="172"/>
      <c r="AS241" s="172"/>
      <c r="AT241" s="172"/>
      <c r="AU241" s="172"/>
      <c r="AV241" s="172"/>
      <c r="AW241" s="172"/>
      <c r="AX241" s="172"/>
      <c r="AY241" s="172"/>
      <c r="AZ241" s="172"/>
      <c r="BA241" s="172"/>
      <c r="BB241" s="172"/>
      <c r="BC241" s="172"/>
      <c r="BD241" s="172"/>
      <c r="BE241" s="172"/>
      <c r="BF241" s="172"/>
      <c r="BG241" s="172"/>
      <c r="BH241" s="172"/>
      <c r="BI241" s="172"/>
      <c r="BJ241" s="172"/>
      <c r="BK241" s="172"/>
      <c r="BL241" s="172"/>
      <c r="BM241" s="172"/>
      <c r="BN241" s="172"/>
      <c r="BO241" s="172"/>
      <c r="BP241" s="172"/>
      <c r="BQ241" s="172"/>
      <c r="BR241" s="172"/>
      <c r="BS241" s="172"/>
      <c r="BT241" s="172"/>
      <c r="BU241" s="172"/>
      <c r="BV241" s="172"/>
      <c r="BW241" s="172"/>
      <c r="BX241" s="175"/>
      <c r="BY241" s="175"/>
      <c r="BZ241" s="175"/>
      <c r="CA241" s="175"/>
      <c r="CB241" s="175"/>
      <c r="CC241" s="175"/>
      <c r="CD241" s="175"/>
      <c r="CE241" s="175"/>
      <c r="CF241" s="175"/>
      <c r="CG241" s="175"/>
      <c r="CH241" s="175"/>
      <c r="CI241" s="175"/>
      <c r="CJ241" s="175"/>
      <c r="CK241" s="175"/>
      <c r="CL241" s="175"/>
      <c r="CM241" s="175"/>
      <c r="CN241" s="175"/>
      <c r="CO241" s="175"/>
      <c r="CP241" s="175"/>
      <c r="CQ241" s="175"/>
      <c r="CR241" s="175"/>
      <c r="CS241" s="175"/>
      <c r="CT241" s="175"/>
      <c r="CU241" s="175"/>
      <c r="CV241" s="175"/>
      <c r="CW241" s="175"/>
      <c r="CX241" s="175"/>
      <c r="CY241" s="175"/>
      <c r="CZ241" s="175"/>
      <c r="DA241" s="175"/>
      <c r="DB241" s="175"/>
      <c r="DC241" s="175"/>
      <c r="DD241" s="175"/>
      <c r="DE241" s="175"/>
      <c r="DF241" s="175"/>
      <c r="DG241" s="175"/>
      <c r="DH241" s="175"/>
      <c r="DI241" s="175"/>
      <c r="DJ241" s="175"/>
      <c r="DK241" s="175"/>
      <c r="DL241" s="175"/>
      <c r="DM241" s="175"/>
      <c r="DN241" s="175"/>
      <c r="DO241" s="175"/>
      <c r="DP241" s="175"/>
      <c r="DQ241" s="175"/>
      <c r="DR241" s="175"/>
      <c r="DS241" s="175"/>
      <c r="DT241" s="175"/>
      <c r="DU241" s="175"/>
      <c r="DV241" s="175"/>
      <c r="DW241" s="175"/>
      <c r="DX241" s="175"/>
      <c r="DY241" s="175"/>
      <c r="DZ241" s="175"/>
      <c r="EA241" s="175"/>
      <c r="EB241" s="175"/>
      <c r="EC241" s="175"/>
      <c r="ED241" s="175"/>
      <c r="EE241" s="175"/>
      <c r="EF241" s="175"/>
      <c r="EG241" s="175"/>
      <c r="EH241" s="175"/>
      <c r="EI241" s="175"/>
      <c r="EJ241" s="175"/>
      <c r="EK241" s="175"/>
      <c r="EL241" s="175"/>
      <c r="EM241" s="175"/>
      <c r="EN241" s="175"/>
      <c r="EO241" s="175"/>
      <c r="EP241" s="175"/>
      <c r="EQ241" s="175"/>
      <c r="ER241" s="175"/>
      <c r="ES241" s="175"/>
      <c r="ET241" s="175"/>
      <c r="EU241" s="175"/>
      <c r="EV241" s="175"/>
      <c r="EW241" s="175"/>
      <c r="EX241" s="175"/>
      <c r="EY241" s="175"/>
      <c r="EZ241" s="175"/>
      <c r="FA241" s="175"/>
      <c r="FB241" s="175"/>
      <c r="FC241" s="175"/>
      <c r="FD241" s="175"/>
      <c r="FE241" s="175"/>
      <c r="FF241" s="175"/>
      <c r="FG241" s="175"/>
      <c r="FH241" s="175"/>
      <c r="FI241" s="175"/>
      <c r="FJ241" s="175"/>
      <c r="FK241" s="175"/>
      <c r="FL241" s="175"/>
      <c r="FM241" s="175"/>
      <c r="FN241" s="175"/>
      <c r="FO241" s="175"/>
      <c r="FP241" s="175"/>
      <c r="FQ241" s="175"/>
      <c r="FR241" s="175"/>
      <c r="FS241" s="175"/>
      <c r="FT241" s="175"/>
      <c r="FU241" s="175"/>
      <c r="FV241" s="175"/>
      <c r="FW241" s="175"/>
      <c r="FX241" s="175"/>
      <c r="FY241" s="175"/>
      <c r="FZ241" s="175"/>
      <c r="GA241" s="175"/>
      <c r="GB241" s="175"/>
      <c r="GC241" s="175"/>
      <c r="GD241" s="175"/>
      <c r="GE241" s="175"/>
      <c r="GF241" s="175"/>
      <c r="GG241" s="175"/>
      <c r="GH241" s="175"/>
      <c r="GI241" s="175"/>
      <c r="GJ241" s="175"/>
      <c r="GK241" s="175"/>
      <c r="GL241" s="175"/>
      <c r="GM241" s="175"/>
      <c r="GN241" s="175"/>
      <c r="GO241" s="175"/>
      <c r="GP241" s="175"/>
      <c r="GQ241" s="175"/>
      <c r="GR241" s="175"/>
      <c r="GS241" s="175"/>
      <c r="GT241" s="175"/>
      <c r="GU241" s="175"/>
      <c r="GV241" s="175"/>
      <c r="GW241" s="175"/>
      <c r="GX241" s="175"/>
      <c r="GY241" s="175"/>
      <c r="GZ241" s="175"/>
      <c r="HA241" s="175"/>
      <c r="HB241" s="175"/>
      <c r="HC241" s="175"/>
      <c r="HD241" s="175"/>
      <c r="HE241" s="175"/>
      <c r="HF241" s="175"/>
      <c r="HG241" s="175"/>
      <c r="HH241" s="175"/>
      <c r="HI241" s="175"/>
      <c r="HJ241" s="175"/>
      <c r="HK241" s="175"/>
      <c r="HL241" s="175"/>
      <c r="HM241" s="175"/>
      <c r="HN241" s="175"/>
      <c r="HO241" s="175"/>
      <c r="HP241" s="175"/>
      <c r="HQ241" s="175"/>
      <c r="HR241" s="175"/>
      <c r="HS241" s="175"/>
      <c r="HT241" s="175"/>
      <c r="HU241" s="175"/>
      <c r="HV241" s="175"/>
      <c r="HW241" s="175"/>
      <c r="HX241" s="175"/>
      <c r="HY241" s="175"/>
      <c r="HZ241" s="175"/>
      <c r="IA241" s="175"/>
      <c r="IB241" s="175"/>
      <c r="IC241" s="175"/>
      <c r="ID241" s="175"/>
      <c r="IE241" s="175"/>
      <c r="IF241" s="175"/>
      <c r="IG241" s="175"/>
      <c r="IH241" s="175"/>
      <c r="II241" s="175"/>
      <c r="IJ241" s="175"/>
      <c r="IK241" s="175"/>
      <c r="IL241" s="175"/>
      <c r="IM241" s="175"/>
      <c r="IN241" s="175"/>
      <c r="IO241" s="175"/>
      <c r="IP241" s="175"/>
      <c r="IQ241" s="175"/>
      <c r="IR241" s="175"/>
      <c r="IS241" s="175"/>
      <c r="IT241" s="175"/>
      <c r="IU241" s="175"/>
      <c r="IV241" s="175"/>
      <c r="IW241" s="175"/>
      <c r="IX241" s="175"/>
      <c r="IY241" s="175"/>
      <c r="IZ241" s="175"/>
      <c r="JA241" s="175"/>
      <c r="JB241" s="175"/>
      <c r="JC241" s="175"/>
      <c r="JD241" s="175"/>
      <c r="JE241" s="175"/>
      <c r="JF241" s="175"/>
      <c r="JG241" s="175"/>
      <c r="JH241" s="175"/>
      <c r="JI241" s="175"/>
      <c r="JJ241" s="175"/>
      <c r="JK241" s="175"/>
      <c r="JL241" s="175"/>
      <c r="JM241" s="175"/>
      <c r="JN241" s="175"/>
      <c r="JO241" s="175"/>
      <c r="JP241" s="175"/>
      <c r="JQ241" s="175"/>
      <c r="JR241" s="175"/>
      <c r="JS241" s="175"/>
      <c r="JT241" s="175"/>
      <c r="JU241" s="175"/>
      <c r="JV241" s="175"/>
      <c r="JW241" s="175"/>
      <c r="JX241" s="175"/>
      <c r="JY241" s="175"/>
      <c r="JZ241" s="175"/>
      <c r="KA241" s="175"/>
      <c r="KB241" s="175"/>
      <c r="KC241" s="175"/>
      <c r="KD241" s="175"/>
      <c r="KE241" s="175"/>
      <c r="KF241" s="175"/>
      <c r="KG241" s="175"/>
      <c r="KH241" s="175"/>
      <c r="KI241" s="175"/>
      <c r="KJ241" s="175"/>
      <c r="KK241" s="175"/>
      <c r="KL241" s="175"/>
      <c r="KM241" s="175"/>
      <c r="KN241" s="175"/>
      <c r="KO241" s="175"/>
      <c r="KP241" s="175"/>
      <c r="KQ241" s="175"/>
      <c r="KR241" s="175"/>
      <c r="KS241" s="175"/>
      <c r="KT241" s="175"/>
      <c r="KU241" s="175"/>
    </row>
    <row r="242" spans="1:307" x14ac:dyDescent="0.2">
      <c r="A242" s="172"/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  <c r="AP242" s="172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2"/>
      <c r="BC242" s="172"/>
      <c r="BD242" s="172"/>
      <c r="BE242" s="172"/>
      <c r="BF242" s="172"/>
      <c r="BG242" s="172"/>
      <c r="BH242" s="172"/>
      <c r="BI242" s="172"/>
      <c r="BJ242" s="172"/>
      <c r="BK242" s="172"/>
      <c r="BL242" s="172"/>
      <c r="BM242" s="172"/>
      <c r="BN242" s="172"/>
      <c r="BO242" s="172"/>
      <c r="BP242" s="172"/>
      <c r="BQ242" s="172"/>
      <c r="BR242" s="172"/>
      <c r="BS242" s="172"/>
      <c r="BT242" s="172"/>
      <c r="BU242" s="172"/>
      <c r="BV242" s="172"/>
      <c r="BW242" s="172"/>
      <c r="BX242" s="175"/>
      <c r="BY242" s="175"/>
      <c r="BZ242" s="175"/>
      <c r="CA242" s="175"/>
      <c r="CB242" s="175"/>
      <c r="CC242" s="175"/>
      <c r="CD242" s="175"/>
      <c r="CE242" s="175"/>
      <c r="CF242" s="175"/>
      <c r="CG242" s="175"/>
      <c r="CH242" s="175"/>
      <c r="CI242" s="175"/>
      <c r="CJ242" s="175"/>
      <c r="CK242" s="175"/>
      <c r="CL242" s="175"/>
      <c r="CM242" s="175"/>
      <c r="CN242" s="175"/>
      <c r="CO242" s="175"/>
      <c r="CP242" s="175"/>
      <c r="CQ242" s="175"/>
      <c r="CR242" s="175"/>
      <c r="CS242" s="175"/>
      <c r="CT242" s="175"/>
      <c r="CU242" s="175"/>
      <c r="CV242" s="175"/>
      <c r="CW242" s="175"/>
      <c r="CX242" s="175"/>
      <c r="CY242" s="175"/>
      <c r="CZ242" s="175"/>
      <c r="DA242" s="175"/>
      <c r="DB242" s="175"/>
      <c r="DC242" s="175"/>
      <c r="DD242" s="175"/>
      <c r="DE242" s="175"/>
      <c r="DF242" s="175"/>
      <c r="DG242" s="175"/>
      <c r="DH242" s="175"/>
      <c r="DI242" s="175"/>
      <c r="DJ242" s="175"/>
      <c r="DK242" s="175"/>
      <c r="DL242" s="175"/>
      <c r="DM242" s="175"/>
      <c r="DN242" s="175"/>
      <c r="DO242" s="175"/>
      <c r="DP242" s="175"/>
      <c r="DQ242" s="175"/>
      <c r="DR242" s="175"/>
      <c r="DS242" s="175"/>
      <c r="DT242" s="175"/>
      <c r="DU242" s="175"/>
      <c r="DV242" s="175"/>
      <c r="DW242" s="175"/>
      <c r="DX242" s="175"/>
      <c r="DY242" s="175"/>
      <c r="DZ242" s="175"/>
      <c r="EA242" s="175"/>
      <c r="EB242" s="175"/>
      <c r="EC242" s="175"/>
      <c r="ED242" s="175"/>
      <c r="EE242" s="175"/>
      <c r="EF242" s="175"/>
      <c r="EG242" s="175"/>
      <c r="EH242" s="175"/>
      <c r="EI242" s="175"/>
      <c r="EJ242" s="175"/>
      <c r="EK242" s="175"/>
      <c r="EL242" s="175"/>
      <c r="EM242" s="175"/>
      <c r="EN242" s="175"/>
      <c r="EO242" s="175"/>
      <c r="EP242" s="175"/>
      <c r="EQ242" s="175"/>
      <c r="ER242" s="175"/>
      <c r="ES242" s="175"/>
      <c r="ET242" s="175"/>
      <c r="EU242" s="175"/>
      <c r="EV242" s="175"/>
      <c r="EW242" s="175"/>
      <c r="EX242" s="175"/>
      <c r="EY242" s="175"/>
      <c r="EZ242" s="175"/>
      <c r="FA242" s="175"/>
      <c r="FB242" s="175"/>
      <c r="FC242" s="175"/>
      <c r="FD242" s="175"/>
      <c r="FE242" s="175"/>
      <c r="FF242" s="175"/>
      <c r="FG242" s="175"/>
      <c r="FH242" s="175"/>
      <c r="FI242" s="175"/>
      <c r="FJ242" s="175"/>
      <c r="FK242" s="175"/>
      <c r="FL242" s="175"/>
      <c r="FM242" s="175"/>
      <c r="FN242" s="175"/>
      <c r="FO242" s="175"/>
      <c r="FP242" s="175"/>
      <c r="FQ242" s="175"/>
      <c r="FR242" s="175"/>
      <c r="FS242" s="175"/>
      <c r="FT242" s="175"/>
      <c r="FU242" s="175"/>
      <c r="FV242" s="175"/>
      <c r="FW242" s="175"/>
      <c r="FX242" s="175"/>
      <c r="FY242" s="175"/>
      <c r="FZ242" s="175"/>
      <c r="GA242" s="175"/>
      <c r="GB242" s="175"/>
      <c r="GC242" s="175"/>
      <c r="GD242" s="175"/>
      <c r="GE242" s="175"/>
      <c r="GF242" s="175"/>
      <c r="GG242" s="175"/>
      <c r="GH242" s="175"/>
      <c r="GI242" s="175"/>
      <c r="GJ242" s="175"/>
      <c r="GK242" s="175"/>
      <c r="GL242" s="175"/>
      <c r="GM242" s="175"/>
      <c r="GN242" s="175"/>
      <c r="GO242" s="175"/>
      <c r="GP242" s="175"/>
      <c r="GQ242" s="175"/>
      <c r="GR242" s="175"/>
      <c r="GS242" s="175"/>
      <c r="GT242" s="175"/>
      <c r="GU242" s="175"/>
      <c r="GV242" s="175"/>
      <c r="GW242" s="175"/>
      <c r="GX242" s="175"/>
      <c r="GY242" s="175"/>
      <c r="GZ242" s="175"/>
      <c r="HA242" s="175"/>
      <c r="HB242" s="175"/>
      <c r="HC242" s="175"/>
      <c r="HD242" s="175"/>
      <c r="HE242" s="175"/>
      <c r="HF242" s="175"/>
      <c r="HG242" s="175"/>
      <c r="HH242" s="175"/>
      <c r="HI242" s="175"/>
      <c r="HJ242" s="175"/>
      <c r="HK242" s="175"/>
      <c r="HL242" s="175"/>
      <c r="HM242" s="175"/>
      <c r="HN242" s="175"/>
      <c r="HO242" s="175"/>
      <c r="HP242" s="175"/>
      <c r="HQ242" s="175"/>
      <c r="HR242" s="175"/>
      <c r="HS242" s="175"/>
      <c r="HT242" s="175"/>
      <c r="HU242" s="175"/>
      <c r="HV242" s="175"/>
      <c r="HW242" s="175"/>
      <c r="HX242" s="175"/>
      <c r="HY242" s="175"/>
      <c r="HZ242" s="175"/>
      <c r="IA242" s="175"/>
      <c r="IB242" s="175"/>
      <c r="IC242" s="175"/>
      <c r="ID242" s="175"/>
      <c r="IE242" s="175"/>
      <c r="IF242" s="175"/>
      <c r="IG242" s="175"/>
      <c r="IH242" s="175"/>
      <c r="II242" s="175"/>
      <c r="IJ242" s="175"/>
      <c r="IK242" s="175"/>
      <c r="IL242" s="175"/>
      <c r="IM242" s="175"/>
      <c r="IN242" s="175"/>
      <c r="IO242" s="175"/>
      <c r="IP242" s="175"/>
      <c r="IQ242" s="175"/>
      <c r="IR242" s="175"/>
      <c r="IS242" s="175"/>
      <c r="IT242" s="175"/>
      <c r="IU242" s="175"/>
      <c r="IV242" s="175"/>
      <c r="IW242" s="175"/>
      <c r="IX242" s="175"/>
      <c r="IY242" s="175"/>
      <c r="IZ242" s="175"/>
      <c r="JA242" s="175"/>
      <c r="JB242" s="175"/>
      <c r="JC242" s="175"/>
      <c r="JD242" s="175"/>
      <c r="JE242" s="175"/>
      <c r="JF242" s="175"/>
      <c r="JG242" s="175"/>
      <c r="JH242" s="175"/>
      <c r="JI242" s="175"/>
      <c r="JJ242" s="175"/>
      <c r="JK242" s="175"/>
      <c r="JL242" s="175"/>
      <c r="JM242" s="175"/>
      <c r="JN242" s="175"/>
      <c r="JO242" s="175"/>
      <c r="JP242" s="175"/>
      <c r="JQ242" s="175"/>
      <c r="JR242" s="175"/>
      <c r="JS242" s="175"/>
      <c r="JT242" s="175"/>
      <c r="JU242" s="175"/>
      <c r="JV242" s="175"/>
      <c r="JW242" s="175"/>
      <c r="JX242" s="175"/>
      <c r="JY242" s="175"/>
      <c r="JZ242" s="175"/>
      <c r="KA242" s="175"/>
      <c r="KB242" s="175"/>
      <c r="KC242" s="175"/>
      <c r="KD242" s="175"/>
      <c r="KE242" s="175"/>
      <c r="KF242" s="175"/>
      <c r="KG242" s="175"/>
      <c r="KH242" s="175"/>
      <c r="KI242" s="175"/>
      <c r="KJ242" s="175"/>
      <c r="KK242" s="175"/>
      <c r="KL242" s="175"/>
      <c r="KM242" s="175"/>
      <c r="KN242" s="175"/>
      <c r="KO242" s="175"/>
      <c r="KP242" s="175"/>
      <c r="KQ242" s="175"/>
      <c r="KR242" s="175"/>
      <c r="KS242" s="175"/>
      <c r="KT242" s="175"/>
      <c r="KU242" s="175"/>
    </row>
    <row r="243" spans="1:307" x14ac:dyDescent="0.2">
      <c r="A243" s="172"/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  <c r="AP243" s="172"/>
      <c r="AQ243" s="172"/>
      <c r="AR243" s="172"/>
      <c r="AS243" s="172"/>
      <c r="AT243" s="172"/>
      <c r="AU243" s="172"/>
      <c r="AV243" s="172"/>
      <c r="AW243" s="172"/>
      <c r="AX243" s="172"/>
      <c r="AY243" s="172"/>
      <c r="AZ243" s="172"/>
      <c r="BA243" s="172"/>
      <c r="BB243" s="172"/>
      <c r="BC243" s="172"/>
      <c r="BD243" s="172"/>
      <c r="BE243" s="172"/>
      <c r="BF243" s="172"/>
      <c r="BG243" s="172"/>
      <c r="BH243" s="172"/>
      <c r="BI243" s="172"/>
      <c r="BJ243" s="172"/>
      <c r="BK243" s="172"/>
      <c r="BL243" s="172"/>
      <c r="BM243" s="172"/>
      <c r="BN243" s="172"/>
      <c r="BO243" s="172"/>
      <c r="BP243" s="172"/>
      <c r="BQ243" s="172"/>
      <c r="BR243" s="172"/>
      <c r="BS243" s="172"/>
      <c r="BT243" s="172"/>
      <c r="BU243" s="172"/>
      <c r="BV243" s="172"/>
      <c r="BW243" s="172"/>
      <c r="BX243" s="175"/>
      <c r="BY243" s="175"/>
      <c r="BZ243" s="175"/>
      <c r="CA243" s="175"/>
      <c r="CB243" s="175"/>
      <c r="CC243" s="175"/>
      <c r="CD243" s="175"/>
      <c r="CE243" s="175"/>
      <c r="CF243" s="175"/>
      <c r="CG243" s="175"/>
      <c r="CH243" s="175"/>
      <c r="CI243" s="175"/>
      <c r="CJ243" s="175"/>
      <c r="CK243" s="175"/>
      <c r="CL243" s="175"/>
      <c r="CM243" s="175"/>
      <c r="CN243" s="175"/>
      <c r="CO243" s="175"/>
      <c r="CP243" s="175"/>
      <c r="CQ243" s="175"/>
      <c r="CR243" s="175"/>
      <c r="CS243" s="175"/>
      <c r="CT243" s="175"/>
      <c r="CU243" s="175"/>
      <c r="CV243" s="175"/>
      <c r="CW243" s="175"/>
      <c r="CX243" s="175"/>
      <c r="CY243" s="175"/>
      <c r="CZ243" s="175"/>
      <c r="DA243" s="175"/>
      <c r="DB243" s="175"/>
      <c r="DC243" s="175"/>
      <c r="DD243" s="175"/>
      <c r="DE243" s="175"/>
      <c r="DF243" s="175"/>
      <c r="DG243" s="175"/>
      <c r="DH243" s="175"/>
      <c r="DI243" s="175"/>
      <c r="DJ243" s="175"/>
      <c r="DK243" s="175"/>
      <c r="DL243" s="175"/>
      <c r="DM243" s="175"/>
      <c r="DN243" s="175"/>
      <c r="DO243" s="175"/>
      <c r="DP243" s="175"/>
      <c r="DQ243" s="175"/>
      <c r="DR243" s="175"/>
      <c r="DS243" s="175"/>
      <c r="DT243" s="175"/>
      <c r="DU243" s="175"/>
      <c r="DV243" s="175"/>
      <c r="DW243" s="175"/>
      <c r="DX243" s="175"/>
      <c r="DY243" s="175"/>
      <c r="DZ243" s="175"/>
      <c r="EA243" s="175"/>
      <c r="EB243" s="175"/>
      <c r="EC243" s="175"/>
      <c r="ED243" s="175"/>
      <c r="EE243" s="175"/>
      <c r="EF243" s="175"/>
      <c r="EG243" s="175"/>
      <c r="EH243" s="175"/>
      <c r="EI243" s="175"/>
      <c r="EJ243" s="175"/>
      <c r="EK243" s="175"/>
      <c r="EL243" s="175"/>
      <c r="EM243" s="175"/>
      <c r="EN243" s="175"/>
      <c r="EO243" s="175"/>
      <c r="EP243" s="175"/>
      <c r="EQ243" s="175"/>
      <c r="ER243" s="175"/>
      <c r="ES243" s="175"/>
      <c r="ET243" s="175"/>
      <c r="EU243" s="175"/>
      <c r="EV243" s="175"/>
      <c r="EW243" s="175"/>
      <c r="EX243" s="175"/>
      <c r="EY243" s="175"/>
      <c r="EZ243" s="175"/>
      <c r="FA243" s="175"/>
      <c r="FB243" s="175"/>
      <c r="FC243" s="175"/>
      <c r="FD243" s="175"/>
      <c r="FE243" s="175"/>
      <c r="FF243" s="175"/>
      <c r="FG243" s="175"/>
      <c r="FH243" s="175"/>
      <c r="FI243" s="175"/>
      <c r="FJ243" s="175"/>
      <c r="FK243" s="175"/>
      <c r="FL243" s="175"/>
      <c r="FM243" s="175"/>
      <c r="FN243" s="175"/>
      <c r="FO243" s="175"/>
      <c r="FP243" s="175"/>
      <c r="FQ243" s="175"/>
      <c r="FR243" s="175"/>
      <c r="FS243" s="175"/>
      <c r="FT243" s="175"/>
      <c r="FU243" s="175"/>
      <c r="FV243" s="175"/>
      <c r="FW243" s="175"/>
      <c r="FX243" s="175"/>
      <c r="FY243" s="175"/>
      <c r="FZ243" s="175"/>
      <c r="GA243" s="175"/>
      <c r="GB243" s="175"/>
      <c r="GC243" s="175"/>
      <c r="GD243" s="175"/>
      <c r="GE243" s="175"/>
      <c r="GF243" s="175"/>
      <c r="GG243" s="175"/>
      <c r="GH243" s="175"/>
      <c r="GI243" s="175"/>
      <c r="GJ243" s="175"/>
      <c r="GK243" s="175"/>
      <c r="GL243" s="175"/>
      <c r="GM243" s="175"/>
      <c r="GN243" s="175"/>
      <c r="GO243" s="175"/>
      <c r="GP243" s="175"/>
      <c r="GQ243" s="175"/>
      <c r="GR243" s="175"/>
      <c r="GS243" s="175"/>
      <c r="GT243" s="175"/>
      <c r="GU243" s="175"/>
      <c r="GV243" s="175"/>
      <c r="GW243" s="175"/>
      <c r="GX243" s="175"/>
      <c r="GY243" s="175"/>
      <c r="GZ243" s="175"/>
      <c r="HA243" s="175"/>
      <c r="HB243" s="175"/>
      <c r="HC243" s="175"/>
      <c r="HD243" s="175"/>
      <c r="HE243" s="175"/>
      <c r="HF243" s="175"/>
      <c r="HG243" s="175"/>
      <c r="HH243" s="175"/>
      <c r="HI243" s="175"/>
      <c r="HJ243" s="175"/>
      <c r="HK243" s="175"/>
      <c r="HL243" s="175"/>
      <c r="HM243" s="175"/>
      <c r="HN243" s="175"/>
      <c r="HO243" s="175"/>
      <c r="HP243" s="175"/>
      <c r="HQ243" s="175"/>
      <c r="HR243" s="175"/>
      <c r="HS243" s="175"/>
      <c r="HT243" s="175"/>
      <c r="HU243" s="175"/>
      <c r="HV243" s="175"/>
      <c r="HW243" s="175"/>
      <c r="HX243" s="175"/>
      <c r="HY243" s="175"/>
      <c r="HZ243" s="175"/>
      <c r="IA243" s="175"/>
      <c r="IB243" s="175"/>
      <c r="IC243" s="175"/>
      <c r="ID243" s="175"/>
      <c r="IE243" s="175"/>
      <c r="IF243" s="175"/>
      <c r="IG243" s="175"/>
      <c r="IH243" s="175"/>
      <c r="II243" s="175"/>
      <c r="IJ243" s="175"/>
      <c r="IK243" s="175"/>
      <c r="IL243" s="175"/>
      <c r="IM243" s="175"/>
      <c r="IN243" s="175"/>
      <c r="IO243" s="175"/>
      <c r="IP243" s="175"/>
      <c r="IQ243" s="175"/>
      <c r="IR243" s="175"/>
      <c r="IS243" s="175"/>
      <c r="IT243" s="175"/>
      <c r="IU243" s="175"/>
      <c r="IV243" s="175"/>
      <c r="IW243" s="175"/>
      <c r="IX243" s="175"/>
      <c r="IY243" s="175"/>
      <c r="IZ243" s="175"/>
      <c r="JA243" s="175"/>
      <c r="JB243" s="175"/>
      <c r="JC243" s="175"/>
      <c r="JD243" s="175"/>
      <c r="JE243" s="175"/>
      <c r="JF243" s="175"/>
      <c r="JG243" s="175"/>
      <c r="JH243" s="175"/>
      <c r="JI243" s="175"/>
      <c r="JJ243" s="175"/>
      <c r="JK243" s="175"/>
      <c r="JL243" s="175"/>
      <c r="JM243" s="175"/>
      <c r="JN243" s="175"/>
      <c r="JO243" s="175"/>
      <c r="JP243" s="175"/>
      <c r="JQ243" s="175"/>
      <c r="JR243" s="175"/>
      <c r="JS243" s="175"/>
      <c r="JT243" s="175"/>
      <c r="JU243" s="175"/>
      <c r="JV243" s="175"/>
      <c r="JW243" s="175"/>
      <c r="JX243" s="175"/>
      <c r="JY243" s="175"/>
      <c r="JZ243" s="175"/>
      <c r="KA243" s="175"/>
      <c r="KB243" s="175"/>
      <c r="KC243" s="175"/>
      <c r="KD243" s="175"/>
      <c r="KE243" s="175"/>
      <c r="KF243" s="175"/>
      <c r="KG243" s="175"/>
      <c r="KH243" s="175"/>
      <c r="KI243" s="175"/>
      <c r="KJ243" s="175"/>
      <c r="KK243" s="175"/>
      <c r="KL243" s="175"/>
      <c r="KM243" s="175"/>
      <c r="KN243" s="175"/>
      <c r="KO243" s="175"/>
      <c r="KP243" s="175"/>
      <c r="KQ243" s="175"/>
      <c r="KR243" s="175"/>
      <c r="KS243" s="175"/>
      <c r="KT243" s="175"/>
      <c r="KU243" s="175"/>
    </row>
    <row r="244" spans="1:307" x14ac:dyDescent="0.2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/>
      <c r="BA244" s="172"/>
      <c r="BB244" s="172"/>
      <c r="BC244" s="172"/>
      <c r="BD244" s="172"/>
      <c r="BE244" s="172"/>
      <c r="BF244" s="172"/>
      <c r="BG244" s="172"/>
      <c r="BH244" s="172"/>
      <c r="BI244" s="172"/>
      <c r="BJ244" s="172"/>
      <c r="BK244" s="172"/>
      <c r="BL244" s="172"/>
      <c r="BM244" s="172"/>
      <c r="BN244" s="172"/>
      <c r="BO244" s="172"/>
      <c r="BP244" s="172"/>
      <c r="BQ244" s="172"/>
      <c r="BR244" s="172"/>
      <c r="BS244" s="172"/>
      <c r="BT244" s="172"/>
      <c r="BU244" s="172"/>
      <c r="BV244" s="172"/>
      <c r="BW244" s="172"/>
      <c r="BX244" s="175"/>
      <c r="BY244" s="175"/>
      <c r="BZ244" s="175"/>
      <c r="CA244" s="175"/>
      <c r="CB244" s="175"/>
      <c r="CC244" s="175"/>
      <c r="CD244" s="175"/>
      <c r="CE244" s="175"/>
      <c r="CF244" s="175"/>
      <c r="CG244" s="175"/>
      <c r="CH244" s="175"/>
      <c r="CI244" s="175"/>
      <c r="CJ244" s="175"/>
      <c r="CK244" s="175"/>
      <c r="CL244" s="175"/>
      <c r="CM244" s="175"/>
      <c r="CN244" s="175"/>
      <c r="CO244" s="175"/>
      <c r="CP244" s="175"/>
      <c r="CQ244" s="175"/>
      <c r="CR244" s="175"/>
      <c r="CS244" s="175"/>
      <c r="CT244" s="175"/>
      <c r="CU244" s="175"/>
      <c r="CV244" s="175"/>
      <c r="CW244" s="175"/>
      <c r="CX244" s="175"/>
      <c r="CY244" s="175"/>
      <c r="CZ244" s="175"/>
      <c r="DA244" s="175"/>
      <c r="DB244" s="175"/>
      <c r="DC244" s="175"/>
      <c r="DD244" s="175"/>
      <c r="DE244" s="175"/>
      <c r="DF244" s="175"/>
      <c r="DG244" s="175"/>
      <c r="DH244" s="175"/>
      <c r="DI244" s="175"/>
      <c r="DJ244" s="175"/>
      <c r="DK244" s="175"/>
      <c r="DL244" s="175"/>
      <c r="DM244" s="175"/>
      <c r="DN244" s="175"/>
      <c r="DO244" s="175"/>
      <c r="DP244" s="175"/>
      <c r="DQ244" s="175"/>
      <c r="DR244" s="175"/>
      <c r="DS244" s="175"/>
      <c r="DT244" s="175"/>
      <c r="DU244" s="175"/>
      <c r="DV244" s="175"/>
      <c r="DW244" s="175"/>
      <c r="DX244" s="175"/>
      <c r="DY244" s="175"/>
      <c r="DZ244" s="175"/>
      <c r="EA244" s="175"/>
      <c r="EB244" s="175"/>
      <c r="EC244" s="175"/>
      <c r="ED244" s="175"/>
      <c r="EE244" s="175"/>
      <c r="EF244" s="175"/>
      <c r="EG244" s="175"/>
      <c r="EH244" s="175"/>
      <c r="EI244" s="175"/>
      <c r="EJ244" s="175"/>
      <c r="EK244" s="175"/>
      <c r="EL244" s="175"/>
      <c r="EM244" s="175"/>
      <c r="EN244" s="175"/>
      <c r="EO244" s="175"/>
      <c r="EP244" s="175"/>
      <c r="EQ244" s="175"/>
      <c r="ER244" s="175"/>
      <c r="ES244" s="175"/>
      <c r="ET244" s="175"/>
      <c r="EU244" s="175"/>
      <c r="EV244" s="175"/>
      <c r="EW244" s="175"/>
      <c r="EX244" s="175"/>
      <c r="EY244" s="175"/>
      <c r="EZ244" s="175"/>
      <c r="FA244" s="175"/>
      <c r="FB244" s="175"/>
      <c r="FC244" s="175"/>
      <c r="FD244" s="175"/>
      <c r="FE244" s="175"/>
      <c r="FF244" s="175"/>
      <c r="FG244" s="175"/>
      <c r="FH244" s="175"/>
      <c r="FI244" s="175"/>
      <c r="FJ244" s="175"/>
      <c r="FK244" s="175"/>
      <c r="FL244" s="175"/>
      <c r="FM244" s="175"/>
      <c r="FN244" s="175"/>
      <c r="FO244" s="175"/>
      <c r="FP244" s="175"/>
      <c r="FQ244" s="175"/>
      <c r="FR244" s="175"/>
      <c r="FS244" s="175"/>
      <c r="FT244" s="175"/>
      <c r="FU244" s="175"/>
      <c r="FV244" s="175"/>
      <c r="FW244" s="175"/>
      <c r="FX244" s="175"/>
      <c r="FY244" s="175"/>
      <c r="FZ244" s="175"/>
      <c r="GA244" s="175"/>
      <c r="GB244" s="175"/>
      <c r="GC244" s="175"/>
      <c r="GD244" s="175"/>
      <c r="GE244" s="175"/>
      <c r="GF244" s="175"/>
      <c r="GG244" s="175"/>
      <c r="GH244" s="175"/>
      <c r="GI244" s="175"/>
      <c r="GJ244" s="175"/>
      <c r="GK244" s="175"/>
      <c r="GL244" s="175"/>
      <c r="GM244" s="175"/>
      <c r="GN244" s="175"/>
      <c r="GO244" s="175"/>
      <c r="GP244" s="175"/>
      <c r="GQ244" s="175"/>
      <c r="GR244" s="175"/>
      <c r="GS244" s="175"/>
      <c r="GT244" s="175"/>
      <c r="GU244" s="175"/>
      <c r="GV244" s="175"/>
      <c r="GW244" s="175"/>
      <c r="GX244" s="175"/>
      <c r="GY244" s="175"/>
      <c r="GZ244" s="175"/>
      <c r="HA244" s="175"/>
      <c r="HB244" s="175"/>
      <c r="HC244" s="175"/>
      <c r="HD244" s="175"/>
      <c r="HE244" s="175"/>
      <c r="HF244" s="175"/>
      <c r="HG244" s="175"/>
      <c r="HH244" s="175"/>
      <c r="HI244" s="175"/>
      <c r="HJ244" s="175"/>
      <c r="HK244" s="175"/>
      <c r="HL244" s="175"/>
      <c r="HM244" s="175"/>
      <c r="HN244" s="175"/>
      <c r="HO244" s="175"/>
      <c r="HP244" s="175"/>
      <c r="HQ244" s="175"/>
      <c r="HR244" s="175"/>
      <c r="HS244" s="175"/>
      <c r="HT244" s="175"/>
      <c r="HU244" s="175"/>
      <c r="HV244" s="175"/>
      <c r="HW244" s="175"/>
      <c r="HX244" s="175"/>
      <c r="HY244" s="175"/>
      <c r="HZ244" s="175"/>
      <c r="IA244" s="175"/>
      <c r="IB244" s="175"/>
      <c r="IC244" s="175"/>
      <c r="ID244" s="175"/>
      <c r="IE244" s="175"/>
      <c r="IF244" s="175"/>
      <c r="IG244" s="175"/>
      <c r="IH244" s="175"/>
      <c r="II244" s="175"/>
      <c r="IJ244" s="175"/>
      <c r="IK244" s="175"/>
      <c r="IL244" s="175"/>
      <c r="IM244" s="175"/>
      <c r="IN244" s="175"/>
      <c r="IO244" s="175"/>
      <c r="IP244" s="175"/>
      <c r="IQ244" s="175"/>
      <c r="IR244" s="175"/>
      <c r="IS244" s="175"/>
      <c r="IT244" s="175"/>
      <c r="IU244" s="175"/>
      <c r="IV244" s="175"/>
      <c r="IW244" s="175"/>
      <c r="IX244" s="175"/>
      <c r="IY244" s="175"/>
      <c r="IZ244" s="175"/>
      <c r="JA244" s="175"/>
      <c r="JB244" s="175"/>
      <c r="JC244" s="175"/>
      <c r="JD244" s="175"/>
      <c r="JE244" s="175"/>
      <c r="JF244" s="175"/>
      <c r="JG244" s="175"/>
      <c r="JH244" s="175"/>
      <c r="JI244" s="175"/>
      <c r="JJ244" s="175"/>
      <c r="JK244" s="175"/>
      <c r="JL244" s="175"/>
      <c r="JM244" s="175"/>
      <c r="JN244" s="175"/>
      <c r="JO244" s="175"/>
      <c r="JP244" s="175"/>
      <c r="JQ244" s="175"/>
      <c r="JR244" s="175"/>
      <c r="JS244" s="175"/>
      <c r="JT244" s="175"/>
      <c r="JU244" s="175"/>
      <c r="JV244" s="175"/>
      <c r="JW244" s="175"/>
      <c r="JX244" s="175"/>
      <c r="JY244" s="175"/>
      <c r="JZ244" s="175"/>
      <c r="KA244" s="175"/>
      <c r="KB244" s="175"/>
      <c r="KC244" s="175"/>
      <c r="KD244" s="175"/>
      <c r="KE244" s="175"/>
      <c r="KF244" s="175"/>
      <c r="KG244" s="175"/>
      <c r="KH244" s="175"/>
      <c r="KI244" s="175"/>
      <c r="KJ244" s="175"/>
      <c r="KK244" s="175"/>
      <c r="KL244" s="175"/>
      <c r="KM244" s="175"/>
      <c r="KN244" s="175"/>
      <c r="KO244" s="175"/>
      <c r="KP244" s="175"/>
      <c r="KQ244" s="175"/>
      <c r="KR244" s="175"/>
      <c r="KS244" s="175"/>
      <c r="KT244" s="175"/>
      <c r="KU244" s="175"/>
    </row>
    <row r="245" spans="1:307" x14ac:dyDescent="0.2">
      <c r="A245" s="172"/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  <c r="BC245" s="172"/>
      <c r="BD245" s="172"/>
      <c r="BE245" s="172"/>
      <c r="BF245" s="172"/>
      <c r="BG245" s="172"/>
      <c r="BH245" s="172"/>
      <c r="BI245" s="172"/>
      <c r="BJ245" s="172"/>
      <c r="BK245" s="172"/>
      <c r="BL245" s="172"/>
      <c r="BM245" s="172"/>
      <c r="BN245" s="172"/>
      <c r="BO245" s="172"/>
      <c r="BP245" s="172"/>
      <c r="BQ245" s="172"/>
      <c r="BR245" s="172"/>
      <c r="BS245" s="172"/>
      <c r="BT245" s="172"/>
      <c r="BU245" s="172"/>
      <c r="BV245" s="172"/>
      <c r="BW245" s="172"/>
      <c r="BX245" s="175"/>
      <c r="BY245" s="175"/>
      <c r="BZ245" s="175"/>
      <c r="CA245" s="175"/>
      <c r="CB245" s="175"/>
      <c r="CC245" s="175"/>
      <c r="CD245" s="175"/>
      <c r="CE245" s="175"/>
      <c r="CF245" s="175"/>
      <c r="CG245" s="175"/>
      <c r="CH245" s="175"/>
      <c r="CI245" s="175"/>
      <c r="CJ245" s="175"/>
      <c r="CK245" s="175"/>
      <c r="CL245" s="175"/>
      <c r="CM245" s="175"/>
      <c r="CN245" s="175"/>
      <c r="CO245" s="175"/>
      <c r="CP245" s="175"/>
      <c r="CQ245" s="175"/>
      <c r="CR245" s="175"/>
      <c r="CS245" s="175"/>
      <c r="CT245" s="175"/>
      <c r="CU245" s="175"/>
      <c r="CV245" s="175"/>
      <c r="CW245" s="175"/>
      <c r="CX245" s="175"/>
      <c r="CY245" s="175"/>
      <c r="CZ245" s="175"/>
      <c r="DA245" s="175"/>
      <c r="DB245" s="175"/>
      <c r="DC245" s="175"/>
      <c r="DD245" s="175"/>
      <c r="DE245" s="175"/>
      <c r="DF245" s="175"/>
      <c r="DG245" s="175"/>
      <c r="DH245" s="175"/>
      <c r="DI245" s="175"/>
      <c r="DJ245" s="175"/>
      <c r="DK245" s="175"/>
      <c r="DL245" s="175"/>
      <c r="DM245" s="175"/>
      <c r="DN245" s="175"/>
      <c r="DO245" s="175"/>
      <c r="DP245" s="175"/>
      <c r="DQ245" s="175"/>
      <c r="DR245" s="175"/>
      <c r="DS245" s="175"/>
      <c r="DT245" s="175"/>
      <c r="DU245" s="175"/>
      <c r="DV245" s="175"/>
      <c r="DW245" s="175"/>
      <c r="DX245" s="175"/>
      <c r="DY245" s="175"/>
      <c r="DZ245" s="175"/>
      <c r="EA245" s="175"/>
      <c r="EB245" s="175"/>
      <c r="EC245" s="175"/>
      <c r="ED245" s="175"/>
      <c r="EE245" s="175"/>
      <c r="EF245" s="175"/>
      <c r="EG245" s="175"/>
      <c r="EH245" s="175"/>
      <c r="EI245" s="175"/>
      <c r="EJ245" s="175"/>
      <c r="EK245" s="175"/>
      <c r="EL245" s="175"/>
      <c r="EM245" s="175"/>
      <c r="EN245" s="175"/>
      <c r="EO245" s="175"/>
      <c r="EP245" s="175"/>
      <c r="EQ245" s="175"/>
      <c r="ER245" s="175"/>
      <c r="ES245" s="175"/>
      <c r="ET245" s="175"/>
      <c r="EU245" s="175"/>
      <c r="EV245" s="175"/>
      <c r="EW245" s="175"/>
      <c r="EX245" s="175"/>
      <c r="EY245" s="175"/>
      <c r="EZ245" s="175"/>
      <c r="FA245" s="175"/>
      <c r="FB245" s="175"/>
      <c r="FC245" s="175"/>
      <c r="FD245" s="175"/>
      <c r="FE245" s="175"/>
      <c r="FF245" s="175"/>
      <c r="FG245" s="175"/>
      <c r="FH245" s="175"/>
      <c r="FI245" s="175"/>
      <c r="FJ245" s="175"/>
      <c r="FK245" s="175"/>
      <c r="FL245" s="175"/>
      <c r="FM245" s="175"/>
      <c r="FN245" s="175"/>
      <c r="FO245" s="175"/>
      <c r="FP245" s="175"/>
      <c r="FQ245" s="175"/>
      <c r="FR245" s="175"/>
      <c r="FS245" s="175"/>
      <c r="FT245" s="175"/>
      <c r="FU245" s="175"/>
      <c r="FV245" s="175"/>
      <c r="FW245" s="175"/>
      <c r="FX245" s="175"/>
      <c r="FY245" s="175"/>
      <c r="FZ245" s="175"/>
      <c r="GA245" s="175"/>
      <c r="GB245" s="175"/>
      <c r="GC245" s="175"/>
      <c r="GD245" s="175"/>
      <c r="GE245" s="175"/>
      <c r="GF245" s="175"/>
      <c r="GG245" s="175"/>
      <c r="GH245" s="175"/>
      <c r="GI245" s="175"/>
      <c r="GJ245" s="175"/>
      <c r="GK245" s="175"/>
      <c r="GL245" s="175"/>
      <c r="GM245" s="175"/>
      <c r="GN245" s="175"/>
      <c r="GO245" s="175"/>
      <c r="GP245" s="175"/>
      <c r="GQ245" s="175"/>
      <c r="GR245" s="175"/>
      <c r="GS245" s="175"/>
      <c r="GT245" s="175"/>
      <c r="GU245" s="175"/>
      <c r="GV245" s="175"/>
      <c r="GW245" s="175"/>
      <c r="GX245" s="175"/>
      <c r="GY245" s="175"/>
      <c r="GZ245" s="175"/>
      <c r="HA245" s="175"/>
      <c r="HB245" s="175"/>
      <c r="HC245" s="175"/>
      <c r="HD245" s="175"/>
      <c r="HE245" s="175"/>
      <c r="HF245" s="175"/>
      <c r="HG245" s="175"/>
      <c r="HH245" s="175"/>
      <c r="HI245" s="175"/>
      <c r="HJ245" s="175"/>
      <c r="HK245" s="175"/>
      <c r="HL245" s="175"/>
      <c r="HM245" s="175"/>
      <c r="HN245" s="175"/>
      <c r="HO245" s="175"/>
      <c r="HP245" s="175"/>
      <c r="HQ245" s="175"/>
      <c r="HR245" s="175"/>
      <c r="HS245" s="175"/>
      <c r="HT245" s="175"/>
      <c r="HU245" s="175"/>
      <c r="HV245" s="175"/>
      <c r="HW245" s="175"/>
      <c r="HX245" s="175"/>
      <c r="HY245" s="175"/>
      <c r="HZ245" s="175"/>
      <c r="IA245" s="175"/>
      <c r="IB245" s="175"/>
      <c r="IC245" s="175"/>
      <c r="ID245" s="175"/>
      <c r="IE245" s="175"/>
      <c r="IF245" s="175"/>
      <c r="IG245" s="175"/>
      <c r="IH245" s="175"/>
      <c r="II245" s="175"/>
      <c r="IJ245" s="175"/>
      <c r="IK245" s="175"/>
      <c r="IL245" s="175"/>
      <c r="IM245" s="175"/>
      <c r="IN245" s="175"/>
      <c r="IO245" s="175"/>
      <c r="IP245" s="175"/>
      <c r="IQ245" s="175"/>
      <c r="IR245" s="175"/>
      <c r="IS245" s="175"/>
      <c r="IT245" s="175"/>
      <c r="IU245" s="175"/>
      <c r="IV245" s="175"/>
      <c r="IW245" s="175"/>
      <c r="IX245" s="175"/>
      <c r="IY245" s="175"/>
      <c r="IZ245" s="175"/>
      <c r="JA245" s="175"/>
      <c r="JB245" s="175"/>
      <c r="JC245" s="175"/>
      <c r="JD245" s="175"/>
      <c r="JE245" s="175"/>
      <c r="JF245" s="175"/>
      <c r="JG245" s="175"/>
      <c r="JH245" s="175"/>
      <c r="JI245" s="175"/>
      <c r="JJ245" s="175"/>
      <c r="JK245" s="175"/>
      <c r="JL245" s="175"/>
      <c r="JM245" s="175"/>
      <c r="JN245" s="175"/>
      <c r="JO245" s="175"/>
      <c r="JP245" s="175"/>
      <c r="JQ245" s="175"/>
      <c r="JR245" s="175"/>
      <c r="JS245" s="175"/>
      <c r="JT245" s="175"/>
      <c r="JU245" s="175"/>
      <c r="JV245" s="175"/>
      <c r="JW245" s="175"/>
      <c r="JX245" s="175"/>
      <c r="JY245" s="175"/>
      <c r="JZ245" s="175"/>
      <c r="KA245" s="175"/>
      <c r="KB245" s="175"/>
      <c r="KC245" s="175"/>
      <c r="KD245" s="175"/>
      <c r="KE245" s="175"/>
      <c r="KF245" s="175"/>
      <c r="KG245" s="175"/>
      <c r="KH245" s="175"/>
      <c r="KI245" s="175"/>
      <c r="KJ245" s="175"/>
      <c r="KK245" s="175"/>
      <c r="KL245" s="175"/>
      <c r="KM245" s="175"/>
      <c r="KN245" s="175"/>
      <c r="KO245" s="175"/>
      <c r="KP245" s="175"/>
      <c r="KQ245" s="175"/>
      <c r="KR245" s="175"/>
      <c r="KS245" s="175"/>
      <c r="KT245" s="175"/>
      <c r="KU245" s="175"/>
    </row>
    <row r="246" spans="1:307" x14ac:dyDescent="0.2">
      <c r="A246" s="172"/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172"/>
      <c r="AS246" s="172"/>
      <c r="AT246" s="172"/>
      <c r="AU246" s="172"/>
      <c r="AV246" s="172"/>
      <c r="AW246" s="172"/>
      <c r="AX246" s="172"/>
      <c r="AY246" s="172"/>
      <c r="AZ246" s="172"/>
      <c r="BA246" s="172"/>
      <c r="BB246" s="172"/>
      <c r="BC246" s="172"/>
      <c r="BD246" s="172"/>
      <c r="BE246" s="172"/>
      <c r="BF246" s="172"/>
      <c r="BG246" s="172"/>
      <c r="BH246" s="172"/>
      <c r="BI246" s="172"/>
      <c r="BJ246" s="172"/>
      <c r="BK246" s="172"/>
      <c r="BL246" s="172"/>
      <c r="BM246" s="172"/>
      <c r="BN246" s="172"/>
      <c r="BO246" s="172"/>
      <c r="BP246" s="172"/>
      <c r="BQ246" s="172"/>
      <c r="BR246" s="172"/>
      <c r="BS246" s="172"/>
      <c r="BT246" s="172"/>
      <c r="BU246" s="172"/>
      <c r="BV246" s="172"/>
      <c r="BW246" s="172"/>
      <c r="BX246" s="175"/>
      <c r="BY246" s="175"/>
      <c r="BZ246" s="175"/>
      <c r="CA246" s="175"/>
      <c r="CB246" s="175"/>
      <c r="CC246" s="175"/>
      <c r="CD246" s="175"/>
      <c r="CE246" s="175"/>
      <c r="CF246" s="175"/>
      <c r="CG246" s="175"/>
      <c r="CH246" s="175"/>
      <c r="CI246" s="175"/>
      <c r="CJ246" s="175"/>
      <c r="CK246" s="175"/>
      <c r="CL246" s="175"/>
      <c r="CM246" s="175"/>
      <c r="CN246" s="175"/>
      <c r="CO246" s="175"/>
      <c r="CP246" s="175"/>
      <c r="CQ246" s="175"/>
      <c r="CR246" s="175"/>
      <c r="CS246" s="175"/>
      <c r="CT246" s="175"/>
      <c r="CU246" s="175"/>
      <c r="CV246" s="175"/>
      <c r="CW246" s="175"/>
      <c r="CX246" s="175"/>
      <c r="CY246" s="175"/>
      <c r="CZ246" s="175"/>
      <c r="DA246" s="175"/>
      <c r="DB246" s="175"/>
      <c r="DC246" s="175"/>
      <c r="DD246" s="175"/>
      <c r="DE246" s="175"/>
      <c r="DF246" s="175"/>
      <c r="DG246" s="175"/>
      <c r="DH246" s="175"/>
      <c r="DI246" s="175"/>
      <c r="DJ246" s="175"/>
      <c r="DK246" s="175"/>
      <c r="DL246" s="175"/>
      <c r="DM246" s="175"/>
      <c r="DN246" s="175"/>
      <c r="DO246" s="175"/>
      <c r="DP246" s="175"/>
      <c r="DQ246" s="175"/>
      <c r="DR246" s="175"/>
      <c r="DS246" s="175"/>
      <c r="DT246" s="175"/>
      <c r="DU246" s="175"/>
      <c r="DV246" s="175"/>
      <c r="DW246" s="175"/>
      <c r="DX246" s="175"/>
      <c r="DY246" s="175"/>
      <c r="DZ246" s="175"/>
      <c r="EA246" s="175"/>
      <c r="EB246" s="175"/>
      <c r="EC246" s="175"/>
      <c r="ED246" s="175"/>
      <c r="EE246" s="175"/>
      <c r="EF246" s="175"/>
      <c r="EG246" s="175"/>
      <c r="EH246" s="175"/>
      <c r="EI246" s="175"/>
      <c r="EJ246" s="175"/>
      <c r="EK246" s="175"/>
      <c r="EL246" s="175"/>
      <c r="EM246" s="175"/>
      <c r="EN246" s="175"/>
      <c r="EO246" s="175"/>
      <c r="EP246" s="175"/>
      <c r="EQ246" s="175"/>
      <c r="ER246" s="175"/>
      <c r="ES246" s="175"/>
      <c r="ET246" s="175"/>
      <c r="EU246" s="175"/>
      <c r="EV246" s="175"/>
      <c r="EW246" s="175"/>
      <c r="EX246" s="175"/>
      <c r="EY246" s="175"/>
      <c r="EZ246" s="175"/>
      <c r="FA246" s="175"/>
      <c r="FB246" s="175"/>
      <c r="FC246" s="175"/>
      <c r="FD246" s="175"/>
      <c r="FE246" s="175"/>
      <c r="FF246" s="175"/>
      <c r="FG246" s="175"/>
      <c r="FH246" s="175"/>
      <c r="FI246" s="175"/>
      <c r="FJ246" s="175"/>
      <c r="FK246" s="175"/>
      <c r="FL246" s="175"/>
      <c r="FM246" s="175"/>
      <c r="FN246" s="175"/>
      <c r="FO246" s="175"/>
      <c r="FP246" s="175"/>
      <c r="FQ246" s="175"/>
      <c r="FR246" s="175"/>
      <c r="FS246" s="175"/>
      <c r="FT246" s="175"/>
      <c r="FU246" s="175"/>
      <c r="FV246" s="175"/>
      <c r="FW246" s="175"/>
      <c r="FX246" s="175"/>
      <c r="FY246" s="175"/>
      <c r="FZ246" s="175"/>
      <c r="GA246" s="175"/>
      <c r="GB246" s="175"/>
      <c r="GC246" s="175"/>
      <c r="GD246" s="175"/>
      <c r="GE246" s="175"/>
      <c r="GF246" s="175"/>
      <c r="GG246" s="175"/>
      <c r="GH246" s="175"/>
      <c r="GI246" s="175"/>
      <c r="GJ246" s="175"/>
      <c r="GK246" s="175"/>
      <c r="GL246" s="175"/>
      <c r="GM246" s="175"/>
      <c r="GN246" s="175"/>
      <c r="GO246" s="175"/>
      <c r="GP246" s="175"/>
      <c r="GQ246" s="175"/>
      <c r="GR246" s="175"/>
      <c r="GS246" s="175"/>
      <c r="GT246" s="175"/>
      <c r="GU246" s="175"/>
      <c r="GV246" s="175"/>
      <c r="GW246" s="175"/>
      <c r="GX246" s="175"/>
      <c r="GY246" s="175"/>
      <c r="GZ246" s="175"/>
      <c r="HA246" s="175"/>
      <c r="HB246" s="175"/>
      <c r="HC246" s="175"/>
      <c r="HD246" s="175"/>
      <c r="HE246" s="175"/>
      <c r="HF246" s="175"/>
      <c r="HG246" s="175"/>
      <c r="HH246" s="175"/>
      <c r="HI246" s="175"/>
      <c r="HJ246" s="175"/>
      <c r="HK246" s="175"/>
      <c r="HL246" s="175"/>
      <c r="HM246" s="175"/>
      <c r="HN246" s="175"/>
      <c r="HO246" s="175"/>
      <c r="HP246" s="175"/>
      <c r="HQ246" s="175"/>
      <c r="HR246" s="175"/>
      <c r="HS246" s="175"/>
      <c r="HT246" s="175"/>
      <c r="HU246" s="175"/>
      <c r="HV246" s="175"/>
      <c r="HW246" s="175"/>
      <c r="HX246" s="175"/>
      <c r="HY246" s="175"/>
      <c r="HZ246" s="175"/>
      <c r="IA246" s="175"/>
      <c r="IB246" s="175"/>
      <c r="IC246" s="175"/>
      <c r="ID246" s="175"/>
      <c r="IE246" s="175"/>
      <c r="IF246" s="175"/>
      <c r="IG246" s="175"/>
      <c r="IH246" s="175"/>
      <c r="II246" s="175"/>
      <c r="IJ246" s="175"/>
      <c r="IK246" s="175"/>
      <c r="IL246" s="175"/>
      <c r="IM246" s="175"/>
      <c r="IN246" s="175"/>
      <c r="IO246" s="175"/>
      <c r="IP246" s="175"/>
      <c r="IQ246" s="175"/>
      <c r="IR246" s="175"/>
      <c r="IS246" s="175"/>
      <c r="IT246" s="175"/>
      <c r="IU246" s="175"/>
      <c r="IV246" s="175"/>
      <c r="IW246" s="175"/>
      <c r="IX246" s="175"/>
      <c r="IY246" s="175"/>
      <c r="IZ246" s="175"/>
      <c r="JA246" s="175"/>
      <c r="JB246" s="175"/>
      <c r="JC246" s="175"/>
      <c r="JD246" s="175"/>
      <c r="JE246" s="175"/>
      <c r="JF246" s="175"/>
      <c r="JG246" s="175"/>
      <c r="JH246" s="175"/>
      <c r="JI246" s="175"/>
      <c r="JJ246" s="175"/>
      <c r="JK246" s="175"/>
      <c r="JL246" s="175"/>
      <c r="JM246" s="175"/>
      <c r="JN246" s="175"/>
      <c r="JO246" s="175"/>
      <c r="JP246" s="175"/>
      <c r="JQ246" s="175"/>
      <c r="JR246" s="175"/>
      <c r="JS246" s="175"/>
      <c r="JT246" s="175"/>
      <c r="JU246" s="175"/>
      <c r="JV246" s="175"/>
      <c r="JW246" s="175"/>
      <c r="JX246" s="175"/>
      <c r="JY246" s="175"/>
      <c r="JZ246" s="175"/>
      <c r="KA246" s="175"/>
      <c r="KB246" s="175"/>
      <c r="KC246" s="175"/>
      <c r="KD246" s="175"/>
      <c r="KE246" s="175"/>
      <c r="KF246" s="175"/>
      <c r="KG246" s="175"/>
      <c r="KH246" s="175"/>
      <c r="KI246" s="175"/>
      <c r="KJ246" s="175"/>
      <c r="KK246" s="175"/>
      <c r="KL246" s="175"/>
      <c r="KM246" s="175"/>
      <c r="KN246" s="175"/>
      <c r="KO246" s="175"/>
      <c r="KP246" s="175"/>
      <c r="KQ246" s="175"/>
      <c r="KR246" s="175"/>
      <c r="KS246" s="175"/>
      <c r="KT246" s="175"/>
      <c r="KU246" s="175"/>
    </row>
    <row r="247" spans="1:307" x14ac:dyDescent="0.2">
      <c r="A247" s="172"/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2"/>
      <c r="AT247" s="172"/>
      <c r="AU247" s="172"/>
      <c r="AV247" s="172"/>
      <c r="AW247" s="172"/>
      <c r="AX247" s="172"/>
      <c r="AY247" s="172"/>
      <c r="AZ247" s="172"/>
      <c r="BA247" s="172"/>
      <c r="BB247" s="172"/>
      <c r="BC247" s="172"/>
      <c r="BD247" s="172"/>
      <c r="BE247" s="172"/>
      <c r="BF247" s="172"/>
      <c r="BG247" s="172"/>
      <c r="BH247" s="172"/>
      <c r="BI247" s="172"/>
      <c r="BJ247" s="172"/>
      <c r="BK247" s="172"/>
      <c r="BL247" s="172"/>
      <c r="BM247" s="172"/>
      <c r="BN247" s="172"/>
      <c r="BO247" s="172"/>
      <c r="BP247" s="172"/>
      <c r="BQ247" s="172"/>
      <c r="BR247" s="172"/>
      <c r="BS247" s="172"/>
      <c r="BT247" s="172"/>
      <c r="BU247" s="172"/>
      <c r="BV247" s="172"/>
      <c r="BW247" s="172"/>
      <c r="BX247" s="175"/>
      <c r="BY247" s="175"/>
      <c r="BZ247" s="175"/>
      <c r="CA247" s="175"/>
      <c r="CB247" s="175"/>
      <c r="CC247" s="175"/>
      <c r="CD247" s="175"/>
      <c r="CE247" s="175"/>
      <c r="CF247" s="175"/>
      <c r="CG247" s="175"/>
      <c r="CH247" s="175"/>
      <c r="CI247" s="175"/>
      <c r="CJ247" s="175"/>
      <c r="CK247" s="175"/>
      <c r="CL247" s="175"/>
      <c r="CM247" s="175"/>
      <c r="CN247" s="175"/>
      <c r="CO247" s="175"/>
      <c r="CP247" s="175"/>
      <c r="CQ247" s="175"/>
      <c r="CR247" s="175"/>
      <c r="CS247" s="175"/>
      <c r="CT247" s="175"/>
      <c r="CU247" s="175"/>
      <c r="CV247" s="175"/>
      <c r="CW247" s="175"/>
      <c r="CX247" s="175"/>
      <c r="CY247" s="175"/>
      <c r="CZ247" s="175"/>
      <c r="DA247" s="175"/>
      <c r="DB247" s="175"/>
      <c r="DC247" s="175"/>
      <c r="DD247" s="175"/>
      <c r="DE247" s="175"/>
      <c r="DF247" s="175"/>
      <c r="DG247" s="175"/>
      <c r="DH247" s="175"/>
      <c r="DI247" s="175"/>
      <c r="DJ247" s="175"/>
      <c r="DK247" s="175"/>
      <c r="DL247" s="175"/>
      <c r="DM247" s="175"/>
      <c r="DN247" s="175"/>
      <c r="DO247" s="175"/>
      <c r="DP247" s="175"/>
      <c r="DQ247" s="175"/>
      <c r="DR247" s="175"/>
      <c r="DS247" s="175"/>
      <c r="DT247" s="175"/>
      <c r="DU247" s="175"/>
      <c r="DV247" s="175"/>
      <c r="DW247" s="175"/>
      <c r="DX247" s="175"/>
      <c r="DY247" s="175"/>
      <c r="DZ247" s="175"/>
      <c r="EA247" s="175"/>
      <c r="EB247" s="175"/>
      <c r="EC247" s="175"/>
      <c r="ED247" s="175"/>
      <c r="EE247" s="175"/>
      <c r="EF247" s="175"/>
      <c r="EG247" s="175"/>
      <c r="EH247" s="175"/>
      <c r="EI247" s="175"/>
      <c r="EJ247" s="175"/>
      <c r="EK247" s="175"/>
      <c r="EL247" s="175"/>
      <c r="EM247" s="175"/>
      <c r="EN247" s="175"/>
      <c r="EO247" s="175"/>
      <c r="EP247" s="175"/>
      <c r="EQ247" s="175"/>
      <c r="ER247" s="175"/>
      <c r="ES247" s="175"/>
      <c r="ET247" s="175"/>
      <c r="EU247" s="175"/>
      <c r="EV247" s="175"/>
      <c r="EW247" s="175"/>
      <c r="EX247" s="175"/>
      <c r="EY247" s="175"/>
      <c r="EZ247" s="175"/>
      <c r="FA247" s="175"/>
      <c r="FB247" s="175"/>
      <c r="FC247" s="175"/>
      <c r="FD247" s="175"/>
      <c r="FE247" s="175"/>
      <c r="FF247" s="175"/>
      <c r="FG247" s="175"/>
      <c r="FH247" s="175"/>
      <c r="FI247" s="175"/>
      <c r="FJ247" s="175"/>
      <c r="FK247" s="175"/>
      <c r="FL247" s="175"/>
      <c r="FM247" s="175"/>
      <c r="FN247" s="175"/>
      <c r="FO247" s="175"/>
      <c r="FP247" s="175"/>
      <c r="FQ247" s="175"/>
      <c r="FR247" s="175"/>
      <c r="FS247" s="175"/>
      <c r="FT247" s="175"/>
      <c r="FU247" s="175"/>
      <c r="FV247" s="175"/>
      <c r="FW247" s="175"/>
      <c r="FX247" s="175"/>
      <c r="FY247" s="175"/>
      <c r="FZ247" s="175"/>
      <c r="GA247" s="175"/>
      <c r="GB247" s="175"/>
      <c r="GC247" s="175"/>
      <c r="GD247" s="175"/>
      <c r="GE247" s="175"/>
      <c r="GF247" s="175"/>
      <c r="GG247" s="175"/>
      <c r="GH247" s="175"/>
      <c r="GI247" s="175"/>
      <c r="GJ247" s="175"/>
      <c r="GK247" s="175"/>
      <c r="GL247" s="175"/>
      <c r="GM247" s="175"/>
      <c r="GN247" s="175"/>
      <c r="GO247" s="175"/>
      <c r="GP247" s="175"/>
      <c r="GQ247" s="175"/>
      <c r="GR247" s="175"/>
      <c r="GS247" s="175"/>
      <c r="GT247" s="175"/>
      <c r="GU247" s="175"/>
      <c r="GV247" s="175"/>
      <c r="GW247" s="175"/>
      <c r="GX247" s="175"/>
      <c r="GY247" s="175"/>
      <c r="GZ247" s="175"/>
      <c r="HA247" s="175"/>
      <c r="HB247" s="175"/>
      <c r="HC247" s="175"/>
      <c r="HD247" s="175"/>
      <c r="HE247" s="175"/>
      <c r="HF247" s="175"/>
      <c r="HG247" s="175"/>
      <c r="HH247" s="175"/>
      <c r="HI247" s="175"/>
      <c r="HJ247" s="175"/>
      <c r="HK247" s="175"/>
      <c r="HL247" s="175"/>
      <c r="HM247" s="175"/>
      <c r="HN247" s="175"/>
      <c r="HO247" s="175"/>
      <c r="HP247" s="175"/>
      <c r="HQ247" s="175"/>
      <c r="HR247" s="175"/>
      <c r="HS247" s="175"/>
      <c r="HT247" s="175"/>
      <c r="HU247" s="175"/>
      <c r="HV247" s="175"/>
      <c r="HW247" s="175"/>
      <c r="HX247" s="175"/>
      <c r="HY247" s="175"/>
      <c r="HZ247" s="175"/>
      <c r="IA247" s="175"/>
      <c r="IB247" s="175"/>
      <c r="IC247" s="175"/>
      <c r="ID247" s="175"/>
      <c r="IE247" s="175"/>
      <c r="IF247" s="175"/>
      <c r="IG247" s="175"/>
      <c r="IH247" s="175"/>
      <c r="II247" s="175"/>
      <c r="IJ247" s="175"/>
      <c r="IK247" s="175"/>
      <c r="IL247" s="175"/>
      <c r="IM247" s="175"/>
      <c r="IN247" s="175"/>
      <c r="IO247" s="175"/>
      <c r="IP247" s="175"/>
      <c r="IQ247" s="175"/>
      <c r="IR247" s="175"/>
      <c r="IS247" s="175"/>
      <c r="IT247" s="175"/>
      <c r="IU247" s="175"/>
      <c r="IV247" s="175"/>
      <c r="IW247" s="175"/>
      <c r="IX247" s="175"/>
      <c r="IY247" s="175"/>
      <c r="IZ247" s="175"/>
      <c r="JA247" s="175"/>
      <c r="JB247" s="175"/>
      <c r="JC247" s="175"/>
      <c r="JD247" s="175"/>
      <c r="JE247" s="175"/>
      <c r="JF247" s="175"/>
      <c r="JG247" s="175"/>
      <c r="JH247" s="175"/>
      <c r="JI247" s="175"/>
      <c r="JJ247" s="175"/>
      <c r="JK247" s="175"/>
      <c r="JL247" s="175"/>
      <c r="JM247" s="175"/>
      <c r="JN247" s="175"/>
      <c r="JO247" s="175"/>
      <c r="JP247" s="175"/>
      <c r="JQ247" s="175"/>
      <c r="JR247" s="175"/>
      <c r="JS247" s="175"/>
      <c r="JT247" s="175"/>
      <c r="JU247" s="175"/>
      <c r="JV247" s="175"/>
      <c r="JW247" s="175"/>
      <c r="JX247" s="175"/>
      <c r="JY247" s="175"/>
      <c r="JZ247" s="175"/>
      <c r="KA247" s="175"/>
      <c r="KB247" s="175"/>
      <c r="KC247" s="175"/>
      <c r="KD247" s="175"/>
      <c r="KE247" s="175"/>
      <c r="KF247" s="175"/>
      <c r="KG247" s="175"/>
      <c r="KH247" s="175"/>
      <c r="KI247" s="175"/>
      <c r="KJ247" s="175"/>
      <c r="KK247" s="175"/>
      <c r="KL247" s="175"/>
      <c r="KM247" s="175"/>
      <c r="KN247" s="175"/>
      <c r="KO247" s="175"/>
      <c r="KP247" s="175"/>
      <c r="KQ247" s="175"/>
      <c r="KR247" s="175"/>
      <c r="KS247" s="175"/>
      <c r="KT247" s="175"/>
      <c r="KU247" s="175"/>
    </row>
    <row r="248" spans="1:307" x14ac:dyDescent="0.2">
      <c r="A248" s="172"/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72"/>
      <c r="AT248" s="172"/>
      <c r="AU248" s="172"/>
      <c r="AV248" s="172"/>
      <c r="AW248" s="172"/>
      <c r="AX248" s="172"/>
      <c r="AY248" s="172"/>
      <c r="AZ248" s="172"/>
      <c r="BA248" s="172"/>
      <c r="BB248" s="172"/>
      <c r="BC248" s="172"/>
      <c r="BD248" s="172"/>
      <c r="BE248" s="172"/>
      <c r="BF248" s="172"/>
      <c r="BG248" s="172"/>
      <c r="BH248" s="172"/>
      <c r="BI248" s="172"/>
      <c r="BJ248" s="172"/>
      <c r="BK248" s="172"/>
      <c r="BL248" s="172"/>
      <c r="BM248" s="172"/>
      <c r="BN248" s="172"/>
      <c r="BO248" s="172"/>
      <c r="BP248" s="172"/>
      <c r="BQ248" s="172"/>
      <c r="BR248" s="172"/>
      <c r="BS248" s="172"/>
      <c r="BT248" s="172"/>
      <c r="BU248" s="172"/>
      <c r="BV248" s="172"/>
      <c r="BW248" s="172"/>
      <c r="BX248" s="175"/>
      <c r="BY248" s="175"/>
      <c r="BZ248" s="175"/>
      <c r="CA248" s="175"/>
      <c r="CB248" s="175"/>
      <c r="CC248" s="175"/>
      <c r="CD248" s="175"/>
      <c r="CE248" s="175"/>
      <c r="CF248" s="175"/>
      <c r="CG248" s="175"/>
      <c r="CH248" s="175"/>
      <c r="CI248" s="175"/>
      <c r="CJ248" s="175"/>
      <c r="CK248" s="175"/>
      <c r="CL248" s="175"/>
      <c r="CM248" s="175"/>
      <c r="CN248" s="175"/>
      <c r="CO248" s="175"/>
      <c r="CP248" s="175"/>
      <c r="CQ248" s="175"/>
      <c r="CR248" s="175"/>
      <c r="CS248" s="175"/>
      <c r="CT248" s="175"/>
      <c r="CU248" s="175"/>
      <c r="CV248" s="175"/>
      <c r="CW248" s="175"/>
      <c r="CX248" s="175"/>
      <c r="CY248" s="175"/>
      <c r="CZ248" s="175"/>
      <c r="DA248" s="175"/>
      <c r="DB248" s="175"/>
      <c r="DC248" s="175"/>
      <c r="DD248" s="175"/>
      <c r="DE248" s="175"/>
      <c r="DF248" s="175"/>
      <c r="DG248" s="175"/>
      <c r="DH248" s="175"/>
      <c r="DI248" s="175"/>
      <c r="DJ248" s="175"/>
      <c r="DK248" s="175"/>
      <c r="DL248" s="175"/>
      <c r="DM248" s="175"/>
      <c r="DN248" s="175"/>
      <c r="DO248" s="175"/>
      <c r="DP248" s="175"/>
      <c r="DQ248" s="175"/>
      <c r="DR248" s="175"/>
      <c r="DS248" s="175"/>
      <c r="DT248" s="175"/>
      <c r="DU248" s="175"/>
      <c r="DV248" s="175"/>
      <c r="DW248" s="175"/>
      <c r="DX248" s="175"/>
      <c r="DY248" s="175"/>
      <c r="DZ248" s="175"/>
      <c r="EA248" s="175"/>
      <c r="EB248" s="175"/>
      <c r="EC248" s="175"/>
      <c r="ED248" s="175"/>
      <c r="EE248" s="175"/>
      <c r="EF248" s="175"/>
      <c r="EG248" s="175"/>
      <c r="EH248" s="175"/>
      <c r="EI248" s="175"/>
      <c r="EJ248" s="175"/>
      <c r="EK248" s="175"/>
      <c r="EL248" s="175"/>
      <c r="EM248" s="175"/>
      <c r="EN248" s="175"/>
      <c r="EO248" s="175"/>
      <c r="EP248" s="175"/>
      <c r="EQ248" s="175"/>
      <c r="ER248" s="175"/>
      <c r="ES248" s="175"/>
      <c r="ET248" s="175"/>
      <c r="EU248" s="175"/>
      <c r="EV248" s="175"/>
      <c r="EW248" s="175"/>
      <c r="EX248" s="175"/>
      <c r="EY248" s="175"/>
      <c r="EZ248" s="175"/>
      <c r="FA248" s="175"/>
      <c r="FB248" s="175"/>
      <c r="FC248" s="175"/>
      <c r="FD248" s="175"/>
      <c r="FE248" s="175"/>
      <c r="FF248" s="175"/>
      <c r="FG248" s="175"/>
      <c r="FH248" s="175"/>
      <c r="FI248" s="175"/>
      <c r="FJ248" s="175"/>
      <c r="FK248" s="175"/>
      <c r="FL248" s="175"/>
      <c r="FM248" s="175"/>
      <c r="FN248" s="175"/>
      <c r="FO248" s="175"/>
      <c r="FP248" s="175"/>
      <c r="FQ248" s="175"/>
      <c r="FR248" s="175"/>
      <c r="FS248" s="175"/>
      <c r="FT248" s="175"/>
      <c r="FU248" s="175"/>
      <c r="FV248" s="175"/>
      <c r="FW248" s="175"/>
      <c r="FX248" s="175"/>
      <c r="FY248" s="175"/>
      <c r="FZ248" s="175"/>
      <c r="GA248" s="175"/>
      <c r="GB248" s="175"/>
      <c r="GC248" s="175"/>
      <c r="GD248" s="175"/>
      <c r="GE248" s="175"/>
      <c r="GF248" s="175"/>
      <c r="GG248" s="175"/>
      <c r="GH248" s="175"/>
      <c r="GI248" s="175"/>
      <c r="GJ248" s="175"/>
      <c r="GK248" s="175"/>
      <c r="GL248" s="175"/>
      <c r="GM248" s="175"/>
      <c r="GN248" s="175"/>
      <c r="GO248" s="175"/>
      <c r="GP248" s="175"/>
      <c r="GQ248" s="175"/>
      <c r="GR248" s="175"/>
      <c r="GS248" s="175"/>
      <c r="GT248" s="175"/>
      <c r="GU248" s="175"/>
      <c r="GV248" s="175"/>
      <c r="GW248" s="175"/>
      <c r="GX248" s="175"/>
      <c r="GY248" s="175"/>
      <c r="GZ248" s="175"/>
      <c r="HA248" s="175"/>
      <c r="HB248" s="175"/>
      <c r="HC248" s="175"/>
      <c r="HD248" s="175"/>
      <c r="HE248" s="175"/>
      <c r="HF248" s="175"/>
      <c r="HG248" s="175"/>
      <c r="HH248" s="175"/>
      <c r="HI248" s="175"/>
      <c r="HJ248" s="175"/>
      <c r="HK248" s="175"/>
      <c r="HL248" s="175"/>
      <c r="HM248" s="175"/>
      <c r="HN248" s="175"/>
      <c r="HO248" s="175"/>
      <c r="HP248" s="175"/>
      <c r="HQ248" s="175"/>
      <c r="HR248" s="175"/>
      <c r="HS248" s="175"/>
      <c r="HT248" s="175"/>
      <c r="HU248" s="175"/>
      <c r="HV248" s="175"/>
      <c r="HW248" s="175"/>
      <c r="HX248" s="175"/>
      <c r="HY248" s="175"/>
      <c r="HZ248" s="175"/>
      <c r="IA248" s="175"/>
      <c r="IB248" s="175"/>
      <c r="IC248" s="175"/>
      <c r="ID248" s="175"/>
      <c r="IE248" s="175"/>
      <c r="IF248" s="175"/>
      <c r="IG248" s="175"/>
      <c r="IH248" s="175"/>
      <c r="II248" s="175"/>
      <c r="IJ248" s="175"/>
      <c r="IK248" s="175"/>
      <c r="IL248" s="175"/>
      <c r="IM248" s="175"/>
      <c r="IN248" s="175"/>
      <c r="IO248" s="175"/>
      <c r="IP248" s="175"/>
      <c r="IQ248" s="175"/>
      <c r="IR248" s="175"/>
      <c r="IS248" s="175"/>
      <c r="IT248" s="175"/>
      <c r="IU248" s="175"/>
      <c r="IV248" s="175"/>
      <c r="IW248" s="175"/>
      <c r="IX248" s="175"/>
      <c r="IY248" s="175"/>
      <c r="IZ248" s="175"/>
      <c r="JA248" s="175"/>
      <c r="JB248" s="175"/>
      <c r="JC248" s="175"/>
      <c r="JD248" s="175"/>
      <c r="JE248" s="175"/>
      <c r="JF248" s="175"/>
      <c r="JG248" s="175"/>
      <c r="JH248" s="175"/>
      <c r="JI248" s="175"/>
      <c r="JJ248" s="175"/>
      <c r="JK248" s="175"/>
      <c r="JL248" s="175"/>
      <c r="JM248" s="175"/>
      <c r="JN248" s="175"/>
      <c r="JO248" s="175"/>
      <c r="JP248" s="175"/>
      <c r="JQ248" s="175"/>
      <c r="JR248" s="175"/>
      <c r="JS248" s="175"/>
      <c r="JT248" s="175"/>
      <c r="JU248" s="175"/>
      <c r="JV248" s="175"/>
      <c r="JW248" s="175"/>
      <c r="JX248" s="175"/>
      <c r="JY248" s="175"/>
      <c r="JZ248" s="175"/>
      <c r="KA248" s="175"/>
      <c r="KB248" s="175"/>
      <c r="KC248" s="175"/>
      <c r="KD248" s="175"/>
      <c r="KE248" s="175"/>
      <c r="KF248" s="175"/>
      <c r="KG248" s="175"/>
      <c r="KH248" s="175"/>
      <c r="KI248" s="175"/>
      <c r="KJ248" s="175"/>
      <c r="KK248" s="175"/>
      <c r="KL248" s="175"/>
      <c r="KM248" s="175"/>
      <c r="KN248" s="175"/>
      <c r="KO248" s="175"/>
      <c r="KP248" s="175"/>
      <c r="KQ248" s="175"/>
      <c r="KR248" s="175"/>
      <c r="KS248" s="175"/>
      <c r="KT248" s="175"/>
      <c r="KU248" s="175"/>
    </row>
    <row r="249" spans="1:307" x14ac:dyDescent="0.2">
      <c r="A249" s="172"/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  <c r="AA249" s="172"/>
      <c r="AB249" s="172"/>
      <c r="AC249" s="172"/>
      <c r="AD249" s="172"/>
      <c r="AE249" s="172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  <c r="AP249" s="172"/>
      <c r="AQ249" s="172"/>
      <c r="AR249" s="172"/>
      <c r="AS249" s="172"/>
      <c r="AT249" s="172"/>
      <c r="AU249" s="172"/>
      <c r="AV249" s="172"/>
      <c r="AW249" s="172"/>
      <c r="AX249" s="172"/>
      <c r="AY249" s="172"/>
      <c r="AZ249" s="172"/>
      <c r="BA249" s="172"/>
      <c r="BB249" s="172"/>
      <c r="BC249" s="172"/>
      <c r="BD249" s="172"/>
      <c r="BE249" s="172"/>
      <c r="BF249" s="172"/>
      <c r="BG249" s="172"/>
      <c r="BH249" s="172"/>
      <c r="BI249" s="172"/>
      <c r="BJ249" s="172"/>
      <c r="BK249" s="172"/>
      <c r="BL249" s="172"/>
      <c r="BM249" s="172"/>
      <c r="BN249" s="172"/>
      <c r="BO249" s="172"/>
      <c r="BP249" s="172"/>
      <c r="BQ249" s="172"/>
      <c r="BR249" s="172"/>
      <c r="BS249" s="172"/>
      <c r="BT249" s="172"/>
      <c r="BU249" s="172"/>
      <c r="BV249" s="172"/>
      <c r="BW249" s="172"/>
      <c r="BX249" s="175"/>
      <c r="BY249" s="175"/>
      <c r="BZ249" s="175"/>
      <c r="CA249" s="175"/>
      <c r="CB249" s="175"/>
      <c r="CC249" s="175"/>
      <c r="CD249" s="175"/>
      <c r="CE249" s="175"/>
      <c r="CF249" s="175"/>
      <c r="CG249" s="175"/>
      <c r="CH249" s="175"/>
      <c r="CI249" s="175"/>
      <c r="CJ249" s="175"/>
      <c r="CK249" s="175"/>
      <c r="CL249" s="175"/>
      <c r="CM249" s="175"/>
      <c r="CN249" s="175"/>
      <c r="CO249" s="175"/>
      <c r="CP249" s="175"/>
      <c r="CQ249" s="175"/>
      <c r="CR249" s="175"/>
      <c r="CS249" s="175"/>
      <c r="CT249" s="175"/>
      <c r="CU249" s="175"/>
      <c r="CV249" s="175"/>
      <c r="CW249" s="175"/>
      <c r="CX249" s="175"/>
      <c r="CY249" s="175"/>
      <c r="CZ249" s="175"/>
      <c r="DA249" s="175"/>
      <c r="DB249" s="175"/>
      <c r="DC249" s="175"/>
      <c r="DD249" s="175"/>
      <c r="DE249" s="175"/>
      <c r="DF249" s="175"/>
      <c r="DG249" s="175"/>
      <c r="DH249" s="175"/>
      <c r="DI249" s="175"/>
      <c r="DJ249" s="175"/>
      <c r="DK249" s="175"/>
      <c r="DL249" s="175"/>
      <c r="DM249" s="175"/>
      <c r="DN249" s="175"/>
      <c r="DO249" s="175"/>
      <c r="DP249" s="175"/>
      <c r="DQ249" s="175"/>
      <c r="DR249" s="175"/>
      <c r="DS249" s="175"/>
      <c r="DT249" s="175"/>
      <c r="DU249" s="175"/>
      <c r="DV249" s="175"/>
      <c r="DW249" s="175"/>
      <c r="DX249" s="175"/>
      <c r="DY249" s="175"/>
      <c r="DZ249" s="175"/>
      <c r="EA249" s="175"/>
      <c r="EB249" s="175"/>
      <c r="EC249" s="175"/>
      <c r="ED249" s="175"/>
      <c r="EE249" s="175"/>
      <c r="EF249" s="175"/>
      <c r="EG249" s="175"/>
      <c r="EH249" s="175"/>
      <c r="EI249" s="175"/>
      <c r="EJ249" s="175"/>
      <c r="EK249" s="175"/>
      <c r="EL249" s="175"/>
      <c r="EM249" s="175"/>
      <c r="EN249" s="175"/>
      <c r="EO249" s="175"/>
      <c r="EP249" s="175"/>
      <c r="EQ249" s="175"/>
      <c r="ER249" s="175"/>
      <c r="ES249" s="175"/>
      <c r="ET249" s="175"/>
      <c r="EU249" s="175"/>
      <c r="EV249" s="175"/>
      <c r="EW249" s="175"/>
      <c r="EX249" s="175"/>
      <c r="EY249" s="175"/>
      <c r="EZ249" s="175"/>
      <c r="FA249" s="175"/>
      <c r="FB249" s="175"/>
      <c r="FC249" s="175"/>
      <c r="FD249" s="175"/>
      <c r="FE249" s="175"/>
      <c r="FF249" s="175"/>
      <c r="FG249" s="175"/>
      <c r="FH249" s="175"/>
      <c r="FI249" s="175"/>
      <c r="FJ249" s="175"/>
      <c r="FK249" s="175"/>
      <c r="FL249" s="175"/>
      <c r="FM249" s="175"/>
      <c r="FN249" s="175"/>
      <c r="FO249" s="175"/>
      <c r="FP249" s="175"/>
      <c r="FQ249" s="175"/>
      <c r="FR249" s="175"/>
      <c r="FS249" s="175"/>
      <c r="FT249" s="175"/>
      <c r="FU249" s="175"/>
      <c r="FV249" s="175"/>
      <c r="FW249" s="175"/>
      <c r="FX249" s="175"/>
      <c r="FY249" s="175"/>
      <c r="FZ249" s="175"/>
      <c r="GA249" s="175"/>
      <c r="GB249" s="175"/>
      <c r="GC249" s="175"/>
      <c r="GD249" s="175"/>
      <c r="GE249" s="175"/>
      <c r="GF249" s="175"/>
      <c r="GG249" s="175"/>
      <c r="GH249" s="175"/>
      <c r="GI249" s="175"/>
      <c r="GJ249" s="175"/>
      <c r="GK249" s="175"/>
      <c r="GL249" s="175"/>
      <c r="GM249" s="175"/>
      <c r="GN249" s="175"/>
      <c r="GO249" s="175"/>
      <c r="GP249" s="175"/>
      <c r="GQ249" s="175"/>
      <c r="GR249" s="175"/>
      <c r="GS249" s="175"/>
      <c r="GT249" s="175"/>
      <c r="GU249" s="175"/>
      <c r="GV249" s="175"/>
      <c r="GW249" s="175"/>
      <c r="GX249" s="175"/>
      <c r="GY249" s="175"/>
      <c r="GZ249" s="175"/>
      <c r="HA249" s="175"/>
      <c r="HB249" s="175"/>
      <c r="HC249" s="175"/>
      <c r="HD249" s="175"/>
      <c r="HE249" s="175"/>
      <c r="HF249" s="175"/>
      <c r="HG249" s="175"/>
      <c r="HH249" s="175"/>
      <c r="HI249" s="175"/>
      <c r="HJ249" s="175"/>
      <c r="HK249" s="175"/>
      <c r="HL249" s="175"/>
      <c r="HM249" s="175"/>
      <c r="HN249" s="175"/>
      <c r="HO249" s="175"/>
      <c r="HP249" s="175"/>
      <c r="HQ249" s="175"/>
      <c r="HR249" s="175"/>
      <c r="HS249" s="175"/>
      <c r="HT249" s="175"/>
      <c r="HU249" s="175"/>
      <c r="HV249" s="175"/>
      <c r="HW249" s="175"/>
      <c r="HX249" s="175"/>
      <c r="HY249" s="175"/>
      <c r="HZ249" s="175"/>
      <c r="IA249" s="175"/>
      <c r="IB249" s="175"/>
      <c r="IC249" s="175"/>
      <c r="ID249" s="175"/>
      <c r="IE249" s="175"/>
      <c r="IF249" s="175"/>
      <c r="IG249" s="175"/>
      <c r="IH249" s="175"/>
      <c r="II249" s="175"/>
      <c r="IJ249" s="175"/>
      <c r="IK249" s="175"/>
      <c r="IL249" s="175"/>
      <c r="IM249" s="175"/>
      <c r="IN249" s="175"/>
      <c r="IO249" s="175"/>
      <c r="IP249" s="175"/>
      <c r="IQ249" s="175"/>
      <c r="IR249" s="175"/>
      <c r="IS249" s="175"/>
      <c r="IT249" s="175"/>
      <c r="IU249" s="175"/>
      <c r="IV249" s="175"/>
      <c r="IW249" s="175"/>
      <c r="IX249" s="175"/>
      <c r="IY249" s="175"/>
      <c r="IZ249" s="175"/>
      <c r="JA249" s="175"/>
      <c r="JB249" s="175"/>
      <c r="JC249" s="175"/>
      <c r="JD249" s="175"/>
      <c r="JE249" s="175"/>
      <c r="JF249" s="175"/>
      <c r="JG249" s="175"/>
      <c r="JH249" s="175"/>
      <c r="JI249" s="175"/>
      <c r="JJ249" s="175"/>
      <c r="JK249" s="175"/>
      <c r="JL249" s="175"/>
      <c r="JM249" s="175"/>
      <c r="JN249" s="175"/>
      <c r="JO249" s="175"/>
      <c r="JP249" s="175"/>
      <c r="JQ249" s="175"/>
      <c r="JR249" s="175"/>
      <c r="JS249" s="175"/>
      <c r="JT249" s="175"/>
      <c r="JU249" s="175"/>
      <c r="JV249" s="175"/>
      <c r="JW249" s="175"/>
      <c r="JX249" s="175"/>
      <c r="JY249" s="175"/>
      <c r="JZ249" s="175"/>
      <c r="KA249" s="175"/>
      <c r="KB249" s="175"/>
      <c r="KC249" s="175"/>
      <c r="KD249" s="175"/>
      <c r="KE249" s="175"/>
      <c r="KF249" s="175"/>
      <c r="KG249" s="175"/>
      <c r="KH249" s="175"/>
      <c r="KI249" s="175"/>
      <c r="KJ249" s="175"/>
      <c r="KK249" s="175"/>
      <c r="KL249" s="175"/>
      <c r="KM249" s="175"/>
      <c r="KN249" s="175"/>
      <c r="KO249" s="175"/>
      <c r="KP249" s="175"/>
      <c r="KQ249" s="175"/>
      <c r="KR249" s="175"/>
      <c r="KS249" s="175"/>
      <c r="KT249" s="175"/>
      <c r="KU249" s="175"/>
    </row>
    <row r="250" spans="1:307" x14ac:dyDescent="0.2">
      <c r="A250" s="172"/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  <c r="AP250" s="172"/>
      <c r="AQ250" s="172"/>
      <c r="AR250" s="172"/>
      <c r="AS250" s="172"/>
      <c r="AT250" s="172"/>
      <c r="AU250" s="172"/>
      <c r="AV250" s="172"/>
      <c r="AW250" s="172"/>
      <c r="AX250" s="172"/>
      <c r="AY250" s="172"/>
      <c r="AZ250" s="172"/>
      <c r="BA250" s="172"/>
      <c r="BB250" s="172"/>
      <c r="BC250" s="172"/>
      <c r="BD250" s="172"/>
      <c r="BE250" s="172"/>
      <c r="BF250" s="172"/>
      <c r="BG250" s="172"/>
      <c r="BH250" s="172"/>
      <c r="BI250" s="172"/>
      <c r="BJ250" s="172"/>
      <c r="BK250" s="172"/>
      <c r="BL250" s="172"/>
      <c r="BM250" s="172"/>
      <c r="BN250" s="172"/>
      <c r="BO250" s="172"/>
      <c r="BP250" s="172"/>
      <c r="BQ250" s="172"/>
      <c r="BR250" s="172"/>
      <c r="BS250" s="172"/>
      <c r="BT250" s="172"/>
      <c r="BU250" s="172"/>
      <c r="BV250" s="172"/>
      <c r="BW250" s="172"/>
      <c r="BX250" s="175"/>
      <c r="BY250" s="175"/>
      <c r="BZ250" s="175"/>
      <c r="CA250" s="175"/>
      <c r="CB250" s="175"/>
      <c r="CC250" s="175"/>
      <c r="CD250" s="175"/>
      <c r="CE250" s="175"/>
      <c r="CF250" s="175"/>
      <c r="CG250" s="175"/>
      <c r="CH250" s="175"/>
      <c r="CI250" s="175"/>
      <c r="CJ250" s="175"/>
      <c r="CK250" s="175"/>
      <c r="CL250" s="175"/>
      <c r="CM250" s="175"/>
      <c r="CN250" s="175"/>
      <c r="CO250" s="175"/>
      <c r="CP250" s="175"/>
      <c r="CQ250" s="175"/>
      <c r="CR250" s="175"/>
      <c r="CS250" s="175"/>
      <c r="CT250" s="175"/>
      <c r="CU250" s="175"/>
      <c r="CV250" s="175"/>
      <c r="CW250" s="175"/>
      <c r="CX250" s="175"/>
      <c r="CY250" s="175"/>
      <c r="CZ250" s="175"/>
      <c r="DA250" s="175"/>
      <c r="DB250" s="175"/>
      <c r="DC250" s="175"/>
      <c r="DD250" s="175"/>
      <c r="DE250" s="175"/>
      <c r="DF250" s="175"/>
      <c r="DG250" s="175"/>
      <c r="DH250" s="175"/>
      <c r="DI250" s="175"/>
      <c r="DJ250" s="175"/>
      <c r="DK250" s="175"/>
      <c r="DL250" s="175"/>
      <c r="DM250" s="175"/>
      <c r="DN250" s="175"/>
      <c r="DO250" s="175"/>
      <c r="DP250" s="175"/>
      <c r="DQ250" s="175"/>
      <c r="DR250" s="175"/>
      <c r="DS250" s="175"/>
      <c r="DT250" s="175"/>
      <c r="DU250" s="175"/>
      <c r="DV250" s="175"/>
      <c r="DW250" s="175"/>
      <c r="DX250" s="175"/>
      <c r="DY250" s="175"/>
      <c r="DZ250" s="175"/>
      <c r="EA250" s="175"/>
      <c r="EB250" s="175"/>
      <c r="EC250" s="175"/>
      <c r="ED250" s="175"/>
      <c r="EE250" s="175"/>
      <c r="EF250" s="175"/>
      <c r="EG250" s="175"/>
      <c r="EH250" s="175"/>
      <c r="EI250" s="175"/>
      <c r="EJ250" s="175"/>
      <c r="EK250" s="175"/>
      <c r="EL250" s="175"/>
      <c r="EM250" s="175"/>
      <c r="EN250" s="175"/>
      <c r="EO250" s="175"/>
      <c r="EP250" s="175"/>
      <c r="EQ250" s="175"/>
      <c r="ER250" s="175"/>
      <c r="ES250" s="175"/>
      <c r="ET250" s="175"/>
      <c r="EU250" s="175"/>
      <c r="EV250" s="175"/>
      <c r="EW250" s="175"/>
      <c r="EX250" s="175"/>
      <c r="EY250" s="175"/>
      <c r="EZ250" s="175"/>
      <c r="FA250" s="175"/>
      <c r="FB250" s="175"/>
      <c r="FC250" s="175"/>
      <c r="FD250" s="175"/>
      <c r="FE250" s="175"/>
      <c r="FF250" s="175"/>
      <c r="FG250" s="175"/>
      <c r="FH250" s="175"/>
      <c r="FI250" s="175"/>
      <c r="FJ250" s="175"/>
      <c r="FK250" s="175"/>
      <c r="FL250" s="175"/>
      <c r="FM250" s="175"/>
      <c r="FN250" s="175"/>
      <c r="FO250" s="175"/>
      <c r="FP250" s="175"/>
      <c r="FQ250" s="175"/>
      <c r="FR250" s="175"/>
      <c r="FS250" s="175"/>
      <c r="FT250" s="175"/>
      <c r="FU250" s="175"/>
      <c r="FV250" s="175"/>
      <c r="FW250" s="175"/>
      <c r="FX250" s="175"/>
      <c r="FY250" s="175"/>
      <c r="FZ250" s="175"/>
      <c r="GA250" s="175"/>
      <c r="GB250" s="175"/>
      <c r="GC250" s="175"/>
      <c r="GD250" s="175"/>
      <c r="GE250" s="175"/>
      <c r="GF250" s="175"/>
      <c r="GG250" s="175"/>
      <c r="GH250" s="175"/>
      <c r="GI250" s="175"/>
      <c r="GJ250" s="175"/>
      <c r="GK250" s="175"/>
      <c r="GL250" s="175"/>
      <c r="GM250" s="175"/>
      <c r="GN250" s="175"/>
      <c r="GO250" s="175"/>
      <c r="GP250" s="175"/>
      <c r="GQ250" s="175"/>
      <c r="GR250" s="175"/>
      <c r="GS250" s="175"/>
      <c r="GT250" s="175"/>
      <c r="GU250" s="175"/>
      <c r="GV250" s="175"/>
      <c r="GW250" s="175"/>
      <c r="GX250" s="175"/>
      <c r="GY250" s="175"/>
      <c r="GZ250" s="175"/>
      <c r="HA250" s="175"/>
      <c r="HB250" s="175"/>
      <c r="HC250" s="175"/>
      <c r="HD250" s="175"/>
      <c r="HE250" s="175"/>
      <c r="HF250" s="175"/>
      <c r="HG250" s="175"/>
      <c r="HH250" s="175"/>
      <c r="HI250" s="175"/>
      <c r="HJ250" s="175"/>
      <c r="HK250" s="175"/>
      <c r="HL250" s="175"/>
      <c r="HM250" s="175"/>
      <c r="HN250" s="175"/>
      <c r="HO250" s="175"/>
      <c r="HP250" s="175"/>
      <c r="HQ250" s="175"/>
      <c r="HR250" s="175"/>
      <c r="HS250" s="175"/>
      <c r="HT250" s="175"/>
      <c r="HU250" s="175"/>
      <c r="HV250" s="175"/>
      <c r="HW250" s="175"/>
      <c r="HX250" s="175"/>
      <c r="HY250" s="175"/>
      <c r="HZ250" s="175"/>
      <c r="IA250" s="175"/>
      <c r="IB250" s="175"/>
      <c r="IC250" s="175"/>
      <c r="ID250" s="175"/>
      <c r="IE250" s="175"/>
      <c r="IF250" s="175"/>
      <c r="IG250" s="175"/>
      <c r="IH250" s="175"/>
      <c r="II250" s="175"/>
      <c r="IJ250" s="175"/>
      <c r="IK250" s="175"/>
      <c r="IL250" s="175"/>
      <c r="IM250" s="175"/>
      <c r="IN250" s="175"/>
      <c r="IO250" s="175"/>
      <c r="IP250" s="175"/>
      <c r="IQ250" s="175"/>
      <c r="IR250" s="175"/>
      <c r="IS250" s="175"/>
      <c r="IT250" s="175"/>
      <c r="IU250" s="175"/>
      <c r="IV250" s="175"/>
      <c r="IW250" s="175"/>
      <c r="IX250" s="175"/>
      <c r="IY250" s="175"/>
      <c r="IZ250" s="175"/>
      <c r="JA250" s="175"/>
      <c r="JB250" s="175"/>
      <c r="JC250" s="175"/>
      <c r="JD250" s="175"/>
      <c r="JE250" s="175"/>
      <c r="JF250" s="175"/>
      <c r="JG250" s="175"/>
      <c r="JH250" s="175"/>
      <c r="JI250" s="175"/>
      <c r="JJ250" s="175"/>
      <c r="JK250" s="175"/>
      <c r="JL250" s="175"/>
      <c r="JM250" s="175"/>
      <c r="JN250" s="175"/>
      <c r="JO250" s="175"/>
      <c r="JP250" s="175"/>
      <c r="JQ250" s="175"/>
      <c r="JR250" s="175"/>
      <c r="JS250" s="175"/>
      <c r="JT250" s="175"/>
      <c r="JU250" s="175"/>
      <c r="JV250" s="175"/>
      <c r="JW250" s="175"/>
      <c r="JX250" s="175"/>
      <c r="JY250" s="175"/>
      <c r="JZ250" s="175"/>
      <c r="KA250" s="175"/>
      <c r="KB250" s="175"/>
      <c r="KC250" s="175"/>
      <c r="KD250" s="175"/>
      <c r="KE250" s="175"/>
      <c r="KF250" s="175"/>
      <c r="KG250" s="175"/>
      <c r="KH250" s="175"/>
      <c r="KI250" s="175"/>
      <c r="KJ250" s="175"/>
      <c r="KK250" s="175"/>
      <c r="KL250" s="175"/>
      <c r="KM250" s="175"/>
      <c r="KN250" s="175"/>
      <c r="KO250" s="175"/>
      <c r="KP250" s="175"/>
      <c r="KQ250" s="175"/>
      <c r="KR250" s="175"/>
      <c r="KS250" s="175"/>
      <c r="KT250" s="175"/>
      <c r="KU250" s="175"/>
    </row>
    <row r="251" spans="1:307" x14ac:dyDescent="0.2">
      <c r="A251" s="172"/>
      <c r="B251" s="172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  <c r="AP251" s="172"/>
      <c r="AQ251" s="172"/>
      <c r="AR251" s="172"/>
      <c r="AS251" s="172"/>
      <c r="AT251" s="172"/>
      <c r="AU251" s="172"/>
      <c r="AV251" s="172"/>
      <c r="AW251" s="172"/>
      <c r="AX251" s="172"/>
      <c r="AY251" s="172"/>
      <c r="AZ251" s="172"/>
      <c r="BA251" s="172"/>
      <c r="BB251" s="172"/>
      <c r="BC251" s="172"/>
      <c r="BD251" s="172"/>
      <c r="BE251" s="172"/>
      <c r="BF251" s="172"/>
      <c r="BG251" s="172"/>
      <c r="BH251" s="172"/>
      <c r="BI251" s="172"/>
      <c r="BJ251" s="172"/>
      <c r="BK251" s="172"/>
      <c r="BL251" s="172"/>
      <c r="BM251" s="172"/>
      <c r="BN251" s="172"/>
      <c r="BO251" s="172"/>
      <c r="BP251" s="172"/>
      <c r="BQ251" s="172"/>
      <c r="BR251" s="172"/>
      <c r="BS251" s="172"/>
      <c r="BT251" s="172"/>
      <c r="BU251" s="172"/>
      <c r="BV251" s="172"/>
      <c r="BW251" s="172"/>
      <c r="BX251" s="175"/>
      <c r="BY251" s="175"/>
      <c r="BZ251" s="175"/>
      <c r="CA251" s="175"/>
      <c r="CB251" s="175"/>
      <c r="CC251" s="175"/>
      <c r="CD251" s="175"/>
      <c r="CE251" s="175"/>
      <c r="CF251" s="175"/>
      <c r="CG251" s="175"/>
      <c r="CH251" s="175"/>
      <c r="CI251" s="175"/>
      <c r="CJ251" s="175"/>
      <c r="CK251" s="175"/>
      <c r="CL251" s="175"/>
      <c r="CM251" s="175"/>
      <c r="CN251" s="175"/>
      <c r="CO251" s="175"/>
      <c r="CP251" s="175"/>
      <c r="CQ251" s="175"/>
      <c r="CR251" s="175"/>
      <c r="CS251" s="175"/>
      <c r="CT251" s="175"/>
      <c r="CU251" s="175"/>
      <c r="CV251" s="175"/>
      <c r="CW251" s="175"/>
      <c r="CX251" s="175"/>
      <c r="CY251" s="175"/>
      <c r="CZ251" s="175"/>
      <c r="DA251" s="175"/>
      <c r="DB251" s="175"/>
      <c r="DC251" s="175"/>
      <c r="DD251" s="175"/>
      <c r="DE251" s="175"/>
      <c r="DF251" s="175"/>
      <c r="DG251" s="175"/>
      <c r="DH251" s="175"/>
      <c r="DI251" s="175"/>
      <c r="DJ251" s="175"/>
      <c r="DK251" s="175"/>
      <c r="DL251" s="175"/>
      <c r="DM251" s="175"/>
      <c r="DN251" s="175"/>
      <c r="DO251" s="175"/>
      <c r="DP251" s="175"/>
      <c r="DQ251" s="175"/>
      <c r="DR251" s="175"/>
      <c r="DS251" s="175"/>
      <c r="DT251" s="175"/>
      <c r="DU251" s="175"/>
      <c r="DV251" s="175"/>
      <c r="DW251" s="175"/>
      <c r="DX251" s="175"/>
      <c r="DY251" s="175"/>
      <c r="DZ251" s="175"/>
      <c r="EA251" s="175"/>
      <c r="EB251" s="175"/>
      <c r="EC251" s="175"/>
      <c r="ED251" s="175"/>
      <c r="EE251" s="175"/>
      <c r="EF251" s="175"/>
      <c r="EG251" s="175"/>
      <c r="EH251" s="175"/>
      <c r="EI251" s="175"/>
      <c r="EJ251" s="175"/>
      <c r="EK251" s="175"/>
      <c r="EL251" s="175"/>
      <c r="EM251" s="175"/>
      <c r="EN251" s="175"/>
      <c r="EO251" s="175"/>
      <c r="EP251" s="175"/>
      <c r="EQ251" s="175"/>
      <c r="ER251" s="175"/>
      <c r="ES251" s="175"/>
      <c r="ET251" s="175"/>
      <c r="EU251" s="175"/>
      <c r="EV251" s="175"/>
      <c r="EW251" s="175"/>
      <c r="EX251" s="175"/>
      <c r="EY251" s="175"/>
      <c r="EZ251" s="175"/>
      <c r="FA251" s="175"/>
      <c r="FB251" s="175"/>
      <c r="FC251" s="175"/>
      <c r="FD251" s="175"/>
      <c r="FE251" s="175"/>
      <c r="FF251" s="175"/>
      <c r="FG251" s="175"/>
      <c r="FH251" s="175"/>
      <c r="FI251" s="175"/>
      <c r="FJ251" s="175"/>
      <c r="FK251" s="175"/>
      <c r="FL251" s="175"/>
      <c r="FM251" s="175"/>
      <c r="FN251" s="175"/>
      <c r="FO251" s="175"/>
      <c r="FP251" s="175"/>
      <c r="FQ251" s="175"/>
      <c r="FR251" s="175"/>
      <c r="FS251" s="175"/>
      <c r="FT251" s="175"/>
      <c r="FU251" s="175"/>
      <c r="FV251" s="175"/>
      <c r="FW251" s="175"/>
      <c r="FX251" s="175"/>
      <c r="FY251" s="175"/>
      <c r="FZ251" s="175"/>
      <c r="GA251" s="175"/>
      <c r="GB251" s="175"/>
      <c r="GC251" s="175"/>
      <c r="GD251" s="175"/>
      <c r="GE251" s="175"/>
      <c r="GF251" s="175"/>
      <c r="GG251" s="175"/>
      <c r="GH251" s="175"/>
      <c r="GI251" s="175"/>
      <c r="GJ251" s="175"/>
      <c r="GK251" s="175"/>
      <c r="GL251" s="175"/>
      <c r="GM251" s="175"/>
      <c r="GN251" s="175"/>
      <c r="GO251" s="175"/>
      <c r="GP251" s="175"/>
      <c r="GQ251" s="175"/>
      <c r="GR251" s="175"/>
      <c r="GS251" s="175"/>
      <c r="GT251" s="175"/>
      <c r="GU251" s="175"/>
      <c r="GV251" s="175"/>
      <c r="GW251" s="175"/>
      <c r="GX251" s="175"/>
      <c r="GY251" s="175"/>
      <c r="GZ251" s="175"/>
      <c r="HA251" s="175"/>
      <c r="HB251" s="175"/>
      <c r="HC251" s="175"/>
      <c r="HD251" s="175"/>
      <c r="HE251" s="175"/>
      <c r="HF251" s="175"/>
      <c r="HG251" s="175"/>
      <c r="HH251" s="175"/>
      <c r="HI251" s="175"/>
      <c r="HJ251" s="175"/>
      <c r="HK251" s="175"/>
      <c r="HL251" s="175"/>
      <c r="HM251" s="175"/>
      <c r="HN251" s="175"/>
      <c r="HO251" s="175"/>
      <c r="HP251" s="175"/>
      <c r="HQ251" s="175"/>
      <c r="HR251" s="175"/>
      <c r="HS251" s="175"/>
      <c r="HT251" s="175"/>
      <c r="HU251" s="175"/>
      <c r="HV251" s="175"/>
      <c r="HW251" s="175"/>
      <c r="HX251" s="175"/>
      <c r="HY251" s="175"/>
      <c r="HZ251" s="175"/>
      <c r="IA251" s="175"/>
      <c r="IB251" s="175"/>
      <c r="IC251" s="175"/>
      <c r="ID251" s="175"/>
      <c r="IE251" s="175"/>
      <c r="IF251" s="175"/>
      <c r="IG251" s="175"/>
      <c r="IH251" s="175"/>
      <c r="II251" s="175"/>
      <c r="IJ251" s="175"/>
      <c r="IK251" s="175"/>
      <c r="IL251" s="175"/>
      <c r="IM251" s="175"/>
      <c r="IN251" s="175"/>
      <c r="IO251" s="175"/>
      <c r="IP251" s="175"/>
      <c r="IQ251" s="175"/>
      <c r="IR251" s="175"/>
      <c r="IS251" s="175"/>
      <c r="IT251" s="175"/>
      <c r="IU251" s="175"/>
      <c r="IV251" s="175"/>
      <c r="IW251" s="175"/>
      <c r="IX251" s="175"/>
      <c r="IY251" s="175"/>
      <c r="IZ251" s="175"/>
      <c r="JA251" s="175"/>
      <c r="JB251" s="175"/>
      <c r="JC251" s="175"/>
      <c r="JD251" s="175"/>
      <c r="JE251" s="175"/>
      <c r="JF251" s="175"/>
      <c r="JG251" s="175"/>
      <c r="JH251" s="175"/>
      <c r="JI251" s="175"/>
      <c r="JJ251" s="175"/>
      <c r="JK251" s="175"/>
      <c r="JL251" s="175"/>
      <c r="JM251" s="175"/>
      <c r="JN251" s="175"/>
      <c r="JO251" s="175"/>
      <c r="JP251" s="175"/>
      <c r="JQ251" s="175"/>
      <c r="JR251" s="175"/>
      <c r="JS251" s="175"/>
      <c r="JT251" s="175"/>
      <c r="JU251" s="175"/>
      <c r="JV251" s="175"/>
      <c r="JW251" s="175"/>
      <c r="JX251" s="175"/>
      <c r="JY251" s="175"/>
      <c r="JZ251" s="175"/>
      <c r="KA251" s="175"/>
      <c r="KB251" s="175"/>
      <c r="KC251" s="175"/>
      <c r="KD251" s="175"/>
      <c r="KE251" s="175"/>
      <c r="KF251" s="175"/>
      <c r="KG251" s="175"/>
      <c r="KH251" s="175"/>
      <c r="KI251" s="175"/>
      <c r="KJ251" s="175"/>
      <c r="KK251" s="175"/>
      <c r="KL251" s="175"/>
      <c r="KM251" s="175"/>
      <c r="KN251" s="175"/>
      <c r="KO251" s="175"/>
      <c r="KP251" s="175"/>
      <c r="KQ251" s="175"/>
      <c r="KR251" s="175"/>
      <c r="KS251" s="175"/>
      <c r="KT251" s="175"/>
      <c r="KU251" s="175"/>
    </row>
    <row r="252" spans="1:307" x14ac:dyDescent="0.2">
      <c r="A252" s="172"/>
      <c r="B252" s="172"/>
      <c r="C252" s="172"/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  <c r="AP252" s="172"/>
      <c r="AQ252" s="172"/>
      <c r="AR252" s="172"/>
      <c r="AS252" s="172"/>
      <c r="AT252" s="172"/>
      <c r="AU252" s="172"/>
      <c r="AV252" s="172"/>
      <c r="AW252" s="172"/>
      <c r="AX252" s="172"/>
      <c r="AY252" s="172"/>
      <c r="AZ252" s="172"/>
      <c r="BA252" s="172"/>
      <c r="BB252" s="172"/>
      <c r="BC252" s="172"/>
      <c r="BD252" s="172"/>
      <c r="BE252" s="172"/>
      <c r="BF252" s="172"/>
      <c r="BG252" s="172"/>
      <c r="BH252" s="172"/>
      <c r="BI252" s="172"/>
      <c r="BJ252" s="172"/>
      <c r="BK252" s="172"/>
      <c r="BL252" s="172"/>
      <c r="BM252" s="172"/>
      <c r="BN252" s="172"/>
      <c r="BO252" s="172"/>
      <c r="BP252" s="172"/>
      <c r="BQ252" s="172"/>
      <c r="BR252" s="172"/>
      <c r="BS252" s="172"/>
      <c r="BT252" s="172"/>
      <c r="BU252" s="172"/>
      <c r="BV252" s="172"/>
      <c r="BW252" s="172"/>
      <c r="BX252" s="175"/>
      <c r="BY252" s="175"/>
      <c r="BZ252" s="175"/>
      <c r="CA252" s="175"/>
      <c r="CB252" s="175"/>
      <c r="CC252" s="175"/>
      <c r="CD252" s="175"/>
      <c r="CE252" s="175"/>
      <c r="CF252" s="175"/>
      <c r="CG252" s="175"/>
      <c r="CH252" s="175"/>
      <c r="CI252" s="175"/>
      <c r="CJ252" s="175"/>
      <c r="CK252" s="175"/>
      <c r="CL252" s="175"/>
      <c r="CM252" s="175"/>
      <c r="CN252" s="175"/>
      <c r="CO252" s="175"/>
      <c r="CP252" s="175"/>
      <c r="CQ252" s="175"/>
      <c r="CR252" s="175"/>
      <c r="CS252" s="175"/>
      <c r="CT252" s="175"/>
      <c r="CU252" s="175"/>
      <c r="CV252" s="175"/>
      <c r="CW252" s="175"/>
      <c r="CX252" s="175"/>
      <c r="CY252" s="175"/>
      <c r="CZ252" s="175"/>
      <c r="DA252" s="175"/>
      <c r="DB252" s="175"/>
      <c r="DC252" s="175"/>
      <c r="DD252" s="175"/>
      <c r="DE252" s="175"/>
      <c r="DF252" s="175"/>
      <c r="DG252" s="175"/>
      <c r="DH252" s="175"/>
      <c r="DI252" s="175"/>
      <c r="DJ252" s="175"/>
      <c r="DK252" s="175"/>
      <c r="DL252" s="175"/>
      <c r="DM252" s="175"/>
      <c r="DN252" s="175"/>
      <c r="DO252" s="175"/>
      <c r="DP252" s="175"/>
      <c r="DQ252" s="175"/>
      <c r="DR252" s="175"/>
      <c r="DS252" s="175"/>
      <c r="DT252" s="175"/>
      <c r="DU252" s="175"/>
      <c r="DV252" s="175"/>
      <c r="DW252" s="175"/>
      <c r="DX252" s="175"/>
      <c r="DY252" s="175"/>
      <c r="DZ252" s="175"/>
      <c r="EA252" s="175"/>
      <c r="EB252" s="175"/>
      <c r="EC252" s="175"/>
      <c r="ED252" s="175"/>
      <c r="EE252" s="175"/>
      <c r="EF252" s="175"/>
      <c r="EG252" s="175"/>
      <c r="EH252" s="175"/>
      <c r="EI252" s="175"/>
      <c r="EJ252" s="175"/>
      <c r="EK252" s="175"/>
      <c r="EL252" s="175"/>
      <c r="EM252" s="175"/>
      <c r="EN252" s="175"/>
      <c r="EO252" s="175"/>
      <c r="EP252" s="175"/>
      <c r="EQ252" s="175"/>
      <c r="ER252" s="175"/>
      <c r="ES252" s="175"/>
      <c r="ET252" s="175"/>
      <c r="EU252" s="175"/>
      <c r="EV252" s="175"/>
      <c r="EW252" s="175"/>
      <c r="EX252" s="175"/>
      <c r="EY252" s="175"/>
      <c r="EZ252" s="175"/>
      <c r="FA252" s="175"/>
      <c r="FB252" s="175"/>
      <c r="FC252" s="175"/>
      <c r="FD252" s="175"/>
      <c r="FE252" s="175"/>
      <c r="FF252" s="175"/>
      <c r="FG252" s="175"/>
      <c r="FH252" s="175"/>
      <c r="FI252" s="175"/>
      <c r="FJ252" s="175"/>
      <c r="FK252" s="175"/>
      <c r="FL252" s="175"/>
      <c r="FM252" s="175"/>
      <c r="FN252" s="175"/>
      <c r="FO252" s="175"/>
      <c r="FP252" s="175"/>
      <c r="FQ252" s="175"/>
      <c r="FR252" s="175"/>
      <c r="FS252" s="175"/>
      <c r="FT252" s="175"/>
      <c r="FU252" s="175"/>
      <c r="FV252" s="175"/>
      <c r="FW252" s="175"/>
      <c r="FX252" s="175"/>
      <c r="FY252" s="175"/>
      <c r="FZ252" s="175"/>
      <c r="GA252" s="175"/>
      <c r="GB252" s="175"/>
      <c r="GC252" s="175"/>
      <c r="GD252" s="175"/>
      <c r="GE252" s="175"/>
      <c r="GF252" s="175"/>
      <c r="GG252" s="175"/>
      <c r="GH252" s="175"/>
      <c r="GI252" s="175"/>
      <c r="GJ252" s="175"/>
      <c r="GK252" s="175"/>
      <c r="GL252" s="175"/>
      <c r="GM252" s="175"/>
      <c r="GN252" s="175"/>
      <c r="GO252" s="175"/>
      <c r="GP252" s="175"/>
      <c r="GQ252" s="175"/>
      <c r="GR252" s="175"/>
      <c r="GS252" s="175"/>
      <c r="GT252" s="175"/>
      <c r="GU252" s="175"/>
      <c r="GV252" s="175"/>
      <c r="GW252" s="175"/>
      <c r="GX252" s="175"/>
      <c r="GY252" s="175"/>
      <c r="GZ252" s="175"/>
      <c r="HA252" s="175"/>
      <c r="HB252" s="175"/>
      <c r="HC252" s="175"/>
      <c r="HD252" s="175"/>
      <c r="HE252" s="175"/>
      <c r="HF252" s="175"/>
      <c r="HG252" s="175"/>
      <c r="HH252" s="175"/>
      <c r="HI252" s="175"/>
      <c r="HJ252" s="175"/>
      <c r="HK252" s="175"/>
      <c r="HL252" s="175"/>
      <c r="HM252" s="175"/>
      <c r="HN252" s="175"/>
      <c r="HO252" s="175"/>
      <c r="HP252" s="175"/>
      <c r="HQ252" s="175"/>
      <c r="HR252" s="175"/>
      <c r="HS252" s="175"/>
      <c r="HT252" s="175"/>
      <c r="HU252" s="175"/>
      <c r="HV252" s="175"/>
      <c r="HW252" s="175"/>
      <c r="HX252" s="175"/>
      <c r="HY252" s="175"/>
      <c r="HZ252" s="175"/>
      <c r="IA252" s="175"/>
      <c r="IB252" s="175"/>
      <c r="IC252" s="175"/>
      <c r="ID252" s="175"/>
      <c r="IE252" s="175"/>
      <c r="IF252" s="175"/>
      <c r="IG252" s="175"/>
      <c r="IH252" s="175"/>
      <c r="II252" s="175"/>
      <c r="IJ252" s="175"/>
      <c r="IK252" s="175"/>
      <c r="IL252" s="175"/>
      <c r="IM252" s="175"/>
      <c r="IN252" s="175"/>
      <c r="IO252" s="175"/>
      <c r="IP252" s="175"/>
      <c r="IQ252" s="175"/>
      <c r="IR252" s="175"/>
      <c r="IS252" s="175"/>
      <c r="IT252" s="175"/>
      <c r="IU252" s="175"/>
      <c r="IV252" s="175"/>
      <c r="IW252" s="175"/>
      <c r="IX252" s="175"/>
      <c r="IY252" s="175"/>
      <c r="IZ252" s="175"/>
      <c r="JA252" s="175"/>
      <c r="JB252" s="175"/>
      <c r="JC252" s="175"/>
      <c r="JD252" s="175"/>
      <c r="JE252" s="175"/>
      <c r="JF252" s="175"/>
      <c r="JG252" s="175"/>
      <c r="JH252" s="175"/>
      <c r="JI252" s="175"/>
      <c r="JJ252" s="175"/>
      <c r="JK252" s="175"/>
      <c r="JL252" s="175"/>
      <c r="JM252" s="175"/>
      <c r="JN252" s="175"/>
      <c r="JO252" s="175"/>
      <c r="JP252" s="175"/>
      <c r="JQ252" s="175"/>
      <c r="JR252" s="175"/>
      <c r="JS252" s="175"/>
      <c r="JT252" s="175"/>
      <c r="JU252" s="175"/>
      <c r="JV252" s="175"/>
      <c r="JW252" s="175"/>
      <c r="JX252" s="175"/>
      <c r="JY252" s="175"/>
      <c r="JZ252" s="175"/>
      <c r="KA252" s="175"/>
      <c r="KB252" s="175"/>
      <c r="KC252" s="175"/>
      <c r="KD252" s="175"/>
      <c r="KE252" s="175"/>
      <c r="KF252" s="175"/>
      <c r="KG252" s="175"/>
      <c r="KH252" s="175"/>
      <c r="KI252" s="175"/>
      <c r="KJ252" s="175"/>
      <c r="KK252" s="175"/>
      <c r="KL252" s="175"/>
      <c r="KM252" s="175"/>
      <c r="KN252" s="175"/>
      <c r="KO252" s="175"/>
      <c r="KP252" s="175"/>
      <c r="KQ252" s="175"/>
      <c r="KR252" s="175"/>
      <c r="KS252" s="175"/>
      <c r="KT252" s="175"/>
      <c r="KU252" s="175"/>
    </row>
    <row r="253" spans="1:307" x14ac:dyDescent="0.2">
      <c r="A253" s="172"/>
      <c r="B253" s="172"/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2"/>
      <c r="BE253" s="172"/>
      <c r="BF253" s="172"/>
      <c r="BG253" s="172"/>
      <c r="BH253" s="172"/>
      <c r="BI253" s="172"/>
      <c r="BJ253" s="172"/>
      <c r="BK253" s="172"/>
      <c r="BL253" s="172"/>
      <c r="BM253" s="172"/>
      <c r="BN253" s="172"/>
      <c r="BO253" s="172"/>
      <c r="BP253" s="172"/>
      <c r="BQ253" s="172"/>
      <c r="BR253" s="172"/>
      <c r="BS253" s="172"/>
      <c r="BT253" s="172"/>
      <c r="BU253" s="172"/>
      <c r="BV253" s="172"/>
      <c r="BW253" s="172"/>
      <c r="BX253" s="175"/>
      <c r="BY253" s="175"/>
      <c r="BZ253" s="175"/>
      <c r="CA253" s="175"/>
      <c r="CB253" s="175"/>
      <c r="CC253" s="175"/>
      <c r="CD253" s="175"/>
      <c r="CE253" s="175"/>
      <c r="CF253" s="175"/>
      <c r="CG253" s="175"/>
      <c r="CH253" s="175"/>
      <c r="CI253" s="175"/>
      <c r="CJ253" s="175"/>
      <c r="CK253" s="175"/>
      <c r="CL253" s="175"/>
      <c r="CM253" s="175"/>
      <c r="CN253" s="175"/>
      <c r="CO253" s="175"/>
      <c r="CP253" s="175"/>
      <c r="CQ253" s="175"/>
      <c r="CR253" s="175"/>
      <c r="CS253" s="175"/>
      <c r="CT253" s="175"/>
      <c r="CU253" s="175"/>
      <c r="CV253" s="175"/>
      <c r="CW253" s="175"/>
      <c r="CX253" s="175"/>
      <c r="CY253" s="175"/>
      <c r="CZ253" s="175"/>
      <c r="DA253" s="175"/>
      <c r="DB253" s="175"/>
      <c r="DC253" s="175"/>
      <c r="DD253" s="175"/>
      <c r="DE253" s="175"/>
      <c r="DF253" s="175"/>
      <c r="DG253" s="175"/>
      <c r="DH253" s="175"/>
      <c r="DI253" s="175"/>
      <c r="DJ253" s="175"/>
      <c r="DK253" s="175"/>
      <c r="DL253" s="175"/>
      <c r="DM253" s="175"/>
      <c r="DN253" s="175"/>
      <c r="DO253" s="175"/>
      <c r="DP253" s="175"/>
      <c r="DQ253" s="175"/>
      <c r="DR253" s="175"/>
      <c r="DS253" s="175"/>
      <c r="DT253" s="175"/>
      <c r="DU253" s="175"/>
      <c r="DV253" s="175"/>
      <c r="DW253" s="175"/>
      <c r="DX253" s="175"/>
      <c r="DY253" s="175"/>
      <c r="DZ253" s="175"/>
      <c r="EA253" s="175"/>
      <c r="EB253" s="175"/>
      <c r="EC253" s="175"/>
      <c r="ED253" s="175"/>
      <c r="EE253" s="175"/>
      <c r="EF253" s="175"/>
      <c r="EG253" s="175"/>
      <c r="EH253" s="175"/>
      <c r="EI253" s="175"/>
      <c r="EJ253" s="175"/>
      <c r="EK253" s="175"/>
      <c r="EL253" s="175"/>
      <c r="EM253" s="175"/>
      <c r="EN253" s="175"/>
      <c r="EO253" s="175"/>
      <c r="EP253" s="175"/>
      <c r="EQ253" s="175"/>
      <c r="ER253" s="175"/>
      <c r="ES253" s="175"/>
      <c r="ET253" s="175"/>
      <c r="EU253" s="175"/>
      <c r="EV253" s="175"/>
      <c r="EW253" s="175"/>
      <c r="EX253" s="175"/>
      <c r="EY253" s="175"/>
      <c r="EZ253" s="175"/>
      <c r="FA253" s="175"/>
      <c r="FB253" s="175"/>
      <c r="FC253" s="175"/>
      <c r="FD253" s="175"/>
      <c r="FE253" s="175"/>
      <c r="FF253" s="175"/>
      <c r="FG253" s="175"/>
      <c r="FH253" s="175"/>
      <c r="FI253" s="175"/>
      <c r="FJ253" s="175"/>
      <c r="FK253" s="175"/>
      <c r="FL253" s="175"/>
      <c r="FM253" s="175"/>
      <c r="FN253" s="175"/>
      <c r="FO253" s="175"/>
      <c r="FP253" s="175"/>
      <c r="FQ253" s="175"/>
      <c r="FR253" s="175"/>
      <c r="FS253" s="175"/>
      <c r="FT253" s="175"/>
      <c r="FU253" s="175"/>
      <c r="FV253" s="175"/>
      <c r="FW253" s="175"/>
      <c r="FX253" s="175"/>
      <c r="FY253" s="175"/>
      <c r="FZ253" s="175"/>
      <c r="GA253" s="175"/>
      <c r="GB253" s="175"/>
      <c r="GC253" s="175"/>
      <c r="GD253" s="175"/>
      <c r="GE253" s="175"/>
      <c r="GF253" s="175"/>
      <c r="GG253" s="175"/>
      <c r="GH253" s="175"/>
      <c r="GI253" s="175"/>
      <c r="GJ253" s="175"/>
      <c r="GK253" s="175"/>
      <c r="GL253" s="175"/>
      <c r="GM253" s="175"/>
      <c r="GN253" s="175"/>
      <c r="GO253" s="175"/>
      <c r="GP253" s="175"/>
      <c r="GQ253" s="175"/>
      <c r="GR253" s="175"/>
      <c r="GS253" s="175"/>
      <c r="GT253" s="175"/>
      <c r="GU253" s="175"/>
      <c r="GV253" s="175"/>
      <c r="GW253" s="175"/>
      <c r="GX253" s="175"/>
      <c r="GY253" s="175"/>
      <c r="GZ253" s="175"/>
      <c r="HA253" s="175"/>
      <c r="HB253" s="175"/>
      <c r="HC253" s="175"/>
      <c r="HD253" s="175"/>
      <c r="HE253" s="175"/>
      <c r="HF253" s="175"/>
      <c r="HG253" s="175"/>
      <c r="HH253" s="175"/>
      <c r="HI253" s="175"/>
      <c r="HJ253" s="175"/>
      <c r="HK253" s="175"/>
      <c r="HL253" s="175"/>
      <c r="HM253" s="175"/>
      <c r="HN253" s="175"/>
      <c r="HO253" s="175"/>
      <c r="HP253" s="175"/>
      <c r="HQ253" s="175"/>
      <c r="HR253" s="175"/>
      <c r="HS253" s="175"/>
      <c r="HT253" s="175"/>
      <c r="HU253" s="175"/>
      <c r="HV253" s="175"/>
      <c r="HW253" s="175"/>
      <c r="HX253" s="175"/>
      <c r="HY253" s="175"/>
      <c r="HZ253" s="175"/>
      <c r="IA253" s="175"/>
      <c r="IB253" s="175"/>
      <c r="IC253" s="175"/>
      <c r="ID253" s="175"/>
      <c r="IE253" s="175"/>
      <c r="IF253" s="175"/>
      <c r="IG253" s="175"/>
      <c r="IH253" s="175"/>
      <c r="II253" s="175"/>
      <c r="IJ253" s="175"/>
      <c r="IK253" s="175"/>
      <c r="IL253" s="175"/>
      <c r="IM253" s="175"/>
      <c r="IN253" s="175"/>
      <c r="IO253" s="175"/>
      <c r="IP253" s="175"/>
      <c r="IQ253" s="175"/>
      <c r="IR253" s="175"/>
      <c r="IS253" s="175"/>
      <c r="IT253" s="175"/>
      <c r="IU253" s="175"/>
      <c r="IV253" s="175"/>
      <c r="IW253" s="175"/>
      <c r="IX253" s="175"/>
      <c r="IY253" s="175"/>
      <c r="IZ253" s="175"/>
      <c r="JA253" s="175"/>
      <c r="JB253" s="175"/>
      <c r="JC253" s="175"/>
      <c r="JD253" s="175"/>
      <c r="JE253" s="175"/>
      <c r="JF253" s="175"/>
      <c r="JG253" s="175"/>
      <c r="JH253" s="175"/>
      <c r="JI253" s="175"/>
      <c r="JJ253" s="175"/>
      <c r="JK253" s="175"/>
      <c r="JL253" s="175"/>
      <c r="JM253" s="175"/>
      <c r="JN253" s="175"/>
      <c r="JO253" s="175"/>
      <c r="JP253" s="175"/>
      <c r="JQ253" s="175"/>
      <c r="JR253" s="175"/>
      <c r="JS253" s="175"/>
      <c r="JT253" s="175"/>
      <c r="JU253" s="175"/>
      <c r="JV253" s="175"/>
      <c r="JW253" s="175"/>
      <c r="JX253" s="175"/>
      <c r="JY253" s="175"/>
      <c r="JZ253" s="175"/>
      <c r="KA253" s="175"/>
      <c r="KB253" s="175"/>
      <c r="KC253" s="175"/>
      <c r="KD253" s="175"/>
      <c r="KE253" s="175"/>
      <c r="KF253" s="175"/>
      <c r="KG253" s="175"/>
      <c r="KH253" s="175"/>
      <c r="KI253" s="175"/>
      <c r="KJ253" s="175"/>
      <c r="KK253" s="175"/>
      <c r="KL253" s="175"/>
      <c r="KM253" s="175"/>
      <c r="KN253" s="175"/>
      <c r="KO253" s="175"/>
      <c r="KP253" s="175"/>
      <c r="KQ253" s="175"/>
      <c r="KR253" s="175"/>
      <c r="KS253" s="175"/>
      <c r="KT253" s="175"/>
      <c r="KU253" s="175"/>
    </row>
    <row r="254" spans="1:307" x14ac:dyDescent="0.2">
      <c r="A254" s="172"/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2"/>
      <c r="BR254" s="172"/>
      <c r="BS254" s="172"/>
      <c r="BT254" s="172"/>
      <c r="BU254" s="172"/>
      <c r="BV254" s="172"/>
      <c r="BW254" s="172"/>
      <c r="BX254" s="175"/>
      <c r="BY254" s="175"/>
      <c r="BZ254" s="175"/>
      <c r="CA254" s="175"/>
      <c r="CB254" s="175"/>
      <c r="CC254" s="175"/>
      <c r="CD254" s="175"/>
      <c r="CE254" s="175"/>
      <c r="CF254" s="175"/>
      <c r="CG254" s="175"/>
      <c r="CH254" s="175"/>
      <c r="CI254" s="175"/>
      <c r="CJ254" s="175"/>
      <c r="CK254" s="175"/>
      <c r="CL254" s="175"/>
      <c r="CM254" s="175"/>
      <c r="CN254" s="175"/>
      <c r="CO254" s="175"/>
      <c r="CP254" s="175"/>
      <c r="CQ254" s="175"/>
      <c r="CR254" s="175"/>
      <c r="CS254" s="175"/>
      <c r="CT254" s="175"/>
      <c r="CU254" s="175"/>
      <c r="CV254" s="175"/>
      <c r="CW254" s="175"/>
      <c r="CX254" s="175"/>
      <c r="CY254" s="175"/>
      <c r="CZ254" s="175"/>
      <c r="DA254" s="175"/>
      <c r="DB254" s="175"/>
      <c r="DC254" s="175"/>
      <c r="DD254" s="175"/>
      <c r="DE254" s="175"/>
      <c r="DF254" s="175"/>
      <c r="DG254" s="175"/>
      <c r="DH254" s="175"/>
      <c r="DI254" s="175"/>
      <c r="DJ254" s="175"/>
      <c r="DK254" s="175"/>
      <c r="DL254" s="175"/>
      <c r="DM254" s="175"/>
      <c r="DN254" s="175"/>
      <c r="DO254" s="175"/>
      <c r="DP254" s="175"/>
      <c r="DQ254" s="175"/>
      <c r="DR254" s="175"/>
      <c r="DS254" s="175"/>
      <c r="DT254" s="175"/>
      <c r="DU254" s="175"/>
      <c r="DV254" s="175"/>
      <c r="DW254" s="175"/>
      <c r="DX254" s="175"/>
      <c r="DY254" s="175"/>
      <c r="DZ254" s="175"/>
      <c r="EA254" s="175"/>
      <c r="EB254" s="175"/>
      <c r="EC254" s="175"/>
      <c r="ED254" s="175"/>
      <c r="EE254" s="175"/>
      <c r="EF254" s="175"/>
      <c r="EG254" s="175"/>
      <c r="EH254" s="175"/>
      <c r="EI254" s="175"/>
      <c r="EJ254" s="175"/>
      <c r="EK254" s="175"/>
      <c r="EL254" s="175"/>
      <c r="EM254" s="175"/>
      <c r="EN254" s="175"/>
      <c r="EO254" s="175"/>
      <c r="EP254" s="175"/>
      <c r="EQ254" s="175"/>
      <c r="ER254" s="175"/>
      <c r="ES254" s="175"/>
      <c r="ET254" s="175"/>
      <c r="EU254" s="175"/>
      <c r="EV254" s="175"/>
      <c r="EW254" s="175"/>
      <c r="EX254" s="175"/>
      <c r="EY254" s="175"/>
      <c r="EZ254" s="175"/>
      <c r="FA254" s="175"/>
      <c r="FB254" s="175"/>
      <c r="FC254" s="175"/>
      <c r="FD254" s="175"/>
      <c r="FE254" s="175"/>
      <c r="FF254" s="175"/>
      <c r="FG254" s="175"/>
      <c r="FH254" s="175"/>
      <c r="FI254" s="175"/>
      <c r="FJ254" s="175"/>
      <c r="FK254" s="175"/>
      <c r="FL254" s="175"/>
      <c r="FM254" s="175"/>
      <c r="FN254" s="175"/>
      <c r="FO254" s="175"/>
      <c r="FP254" s="175"/>
      <c r="FQ254" s="175"/>
      <c r="FR254" s="175"/>
      <c r="FS254" s="175"/>
      <c r="FT254" s="175"/>
      <c r="FU254" s="175"/>
      <c r="FV254" s="175"/>
      <c r="FW254" s="175"/>
      <c r="FX254" s="175"/>
      <c r="FY254" s="175"/>
      <c r="FZ254" s="175"/>
      <c r="GA254" s="175"/>
      <c r="GB254" s="175"/>
      <c r="GC254" s="175"/>
      <c r="GD254" s="175"/>
      <c r="GE254" s="175"/>
      <c r="GF254" s="175"/>
      <c r="GG254" s="175"/>
      <c r="GH254" s="175"/>
      <c r="GI254" s="175"/>
      <c r="GJ254" s="175"/>
      <c r="GK254" s="175"/>
      <c r="GL254" s="175"/>
      <c r="GM254" s="175"/>
      <c r="GN254" s="175"/>
      <c r="GO254" s="175"/>
      <c r="GP254" s="175"/>
      <c r="GQ254" s="175"/>
      <c r="GR254" s="175"/>
      <c r="GS254" s="175"/>
      <c r="GT254" s="175"/>
      <c r="GU254" s="175"/>
      <c r="GV254" s="175"/>
      <c r="GW254" s="175"/>
      <c r="GX254" s="175"/>
      <c r="GY254" s="175"/>
      <c r="GZ254" s="175"/>
      <c r="HA254" s="175"/>
      <c r="HB254" s="175"/>
      <c r="HC254" s="175"/>
      <c r="HD254" s="175"/>
      <c r="HE254" s="175"/>
      <c r="HF254" s="175"/>
      <c r="HG254" s="175"/>
      <c r="HH254" s="175"/>
      <c r="HI254" s="175"/>
      <c r="HJ254" s="175"/>
      <c r="HK254" s="175"/>
      <c r="HL254" s="175"/>
      <c r="HM254" s="175"/>
      <c r="HN254" s="175"/>
      <c r="HO254" s="175"/>
      <c r="HP254" s="175"/>
      <c r="HQ254" s="175"/>
      <c r="HR254" s="175"/>
      <c r="HS254" s="175"/>
      <c r="HT254" s="175"/>
      <c r="HU254" s="175"/>
      <c r="HV254" s="175"/>
      <c r="HW254" s="175"/>
      <c r="HX254" s="175"/>
      <c r="HY254" s="175"/>
      <c r="HZ254" s="175"/>
      <c r="IA254" s="175"/>
      <c r="IB254" s="175"/>
      <c r="IC254" s="175"/>
      <c r="ID254" s="175"/>
      <c r="IE254" s="175"/>
      <c r="IF254" s="175"/>
      <c r="IG254" s="175"/>
      <c r="IH254" s="175"/>
      <c r="II254" s="175"/>
      <c r="IJ254" s="175"/>
      <c r="IK254" s="175"/>
      <c r="IL254" s="175"/>
      <c r="IM254" s="175"/>
      <c r="IN254" s="175"/>
      <c r="IO254" s="175"/>
      <c r="IP254" s="175"/>
      <c r="IQ254" s="175"/>
      <c r="IR254" s="175"/>
      <c r="IS254" s="175"/>
      <c r="IT254" s="175"/>
      <c r="IU254" s="175"/>
      <c r="IV254" s="175"/>
      <c r="IW254" s="175"/>
      <c r="IX254" s="175"/>
      <c r="IY254" s="175"/>
      <c r="IZ254" s="175"/>
      <c r="JA254" s="175"/>
      <c r="JB254" s="175"/>
      <c r="JC254" s="175"/>
      <c r="JD254" s="175"/>
      <c r="JE254" s="175"/>
      <c r="JF254" s="175"/>
      <c r="JG254" s="175"/>
      <c r="JH254" s="175"/>
      <c r="JI254" s="175"/>
      <c r="JJ254" s="175"/>
      <c r="JK254" s="175"/>
      <c r="JL254" s="175"/>
      <c r="JM254" s="175"/>
      <c r="JN254" s="175"/>
      <c r="JO254" s="175"/>
      <c r="JP254" s="175"/>
      <c r="JQ254" s="175"/>
      <c r="JR254" s="175"/>
      <c r="JS254" s="175"/>
      <c r="JT254" s="175"/>
      <c r="JU254" s="175"/>
      <c r="JV254" s="175"/>
      <c r="JW254" s="175"/>
      <c r="JX254" s="175"/>
      <c r="JY254" s="175"/>
      <c r="JZ254" s="175"/>
      <c r="KA254" s="175"/>
      <c r="KB254" s="175"/>
      <c r="KC254" s="175"/>
      <c r="KD254" s="175"/>
      <c r="KE254" s="175"/>
      <c r="KF254" s="175"/>
      <c r="KG254" s="175"/>
      <c r="KH254" s="175"/>
      <c r="KI254" s="175"/>
      <c r="KJ254" s="175"/>
      <c r="KK254" s="175"/>
      <c r="KL254" s="175"/>
      <c r="KM254" s="175"/>
      <c r="KN254" s="175"/>
      <c r="KO254" s="175"/>
      <c r="KP254" s="175"/>
      <c r="KQ254" s="175"/>
      <c r="KR254" s="175"/>
      <c r="KS254" s="175"/>
      <c r="KT254" s="175"/>
      <c r="KU254" s="175"/>
    </row>
    <row r="255" spans="1:307" x14ac:dyDescent="0.2">
      <c r="A255" s="172"/>
      <c r="B255" s="172"/>
      <c r="C255" s="172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172"/>
      <c r="BN255" s="172"/>
      <c r="BO255" s="172"/>
      <c r="BP255" s="172"/>
      <c r="BQ255" s="172"/>
      <c r="BR255" s="172"/>
      <c r="BS255" s="172"/>
      <c r="BT255" s="172"/>
      <c r="BU255" s="172"/>
      <c r="BV255" s="172"/>
      <c r="BW255" s="172"/>
      <c r="BX255" s="175"/>
      <c r="BY255" s="175"/>
      <c r="BZ255" s="175"/>
      <c r="CA255" s="175"/>
      <c r="CB255" s="175"/>
      <c r="CC255" s="175"/>
      <c r="CD255" s="175"/>
      <c r="CE255" s="175"/>
      <c r="CF255" s="175"/>
      <c r="CG255" s="175"/>
      <c r="CH255" s="175"/>
      <c r="CI255" s="175"/>
      <c r="CJ255" s="175"/>
      <c r="CK255" s="175"/>
      <c r="CL255" s="175"/>
      <c r="CM255" s="175"/>
      <c r="CN255" s="175"/>
      <c r="CO255" s="175"/>
      <c r="CP255" s="175"/>
      <c r="CQ255" s="175"/>
      <c r="CR255" s="175"/>
      <c r="CS255" s="175"/>
      <c r="CT255" s="175"/>
      <c r="CU255" s="175"/>
      <c r="CV255" s="175"/>
      <c r="CW255" s="175"/>
      <c r="CX255" s="175"/>
      <c r="CY255" s="175"/>
      <c r="CZ255" s="175"/>
      <c r="DA255" s="175"/>
      <c r="DB255" s="175"/>
      <c r="DC255" s="175"/>
      <c r="DD255" s="175"/>
      <c r="DE255" s="175"/>
      <c r="DF255" s="175"/>
      <c r="DG255" s="175"/>
      <c r="DH255" s="175"/>
      <c r="DI255" s="175"/>
      <c r="DJ255" s="175"/>
      <c r="DK255" s="175"/>
      <c r="DL255" s="175"/>
      <c r="DM255" s="175"/>
      <c r="DN255" s="175"/>
      <c r="DO255" s="175"/>
      <c r="DP255" s="175"/>
      <c r="DQ255" s="175"/>
      <c r="DR255" s="175"/>
      <c r="DS255" s="175"/>
      <c r="DT255" s="175"/>
      <c r="DU255" s="175"/>
      <c r="DV255" s="175"/>
      <c r="DW255" s="175"/>
      <c r="DX255" s="175"/>
      <c r="DY255" s="175"/>
      <c r="DZ255" s="175"/>
      <c r="EA255" s="175"/>
      <c r="EB255" s="175"/>
      <c r="EC255" s="175"/>
      <c r="ED255" s="175"/>
      <c r="EE255" s="175"/>
      <c r="EF255" s="175"/>
      <c r="EG255" s="175"/>
      <c r="EH255" s="175"/>
      <c r="EI255" s="175"/>
      <c r="EJ255" s="175"/>
      <c r="EK255" s="175"/>
      <c r="EL255" s="175"/>
      <c r="EM255" s="175"/>
      <c r="EN255" s="175"/>
      <c r="EO255" s="175"/>
      <c r="EP255" s="175"/>
      <c r="EQ255" s="175"/>
      <c r="ER255" s="175"/>
      <c r="ES255" s="175"/>
      <c r="ET255" s="175"/>
      <c r="EU255" s="175"/>
      <c r="EV255" s="175"/>
      <c r="EW255" s="175"/>
      <c r="EX255" s="175"/>
      <c r="EY255" s="175"/>
      <c r="EZ255" s="175"/>
      <c r="FA255" s="175"/>
      <c r="FB255" s="175"/>
      <c r="FC255" s="175"/>
      <c r="FD255" s="175"/>
      <c r="FE255" s="175"/>
      <c r="FF255" s="175"/>
      <c r="FG255" s="175"/>
      <c r="FH255" s="175"/>
      <c r="FI255" s="175"/>
      <c r="FJ255" s="175"/>
      <c r="FK255" s="175"/>
      <c r="FL255" s="175"/>
      <c r="FM255" s="175"/>
      <c r="FN255" s="175"/>
      <c r="FO255" s="175"/>
      <c r="FP255" s="175"/>
      <c r="FQ255" s="175"/>
      <c r="FR255" s="175"/>
      <c r="FS255" s="175"/>
      <c r="FT255" s="175"/>
      <c r="FU255" s="175"/>
      <c r="FV255" s="175"/>
      <c r="FW255" s="175"/>
      <c r="FX255" s="175"/>
      <c r="FY255" s="175"/>
      <c r="FZ255" s="175"/>
      <c r="GA255" s="175"/>
      <c r="GB255" s="175"/>
      <c r="GC255" s="175"/>
      <c r="GD255" s="175"/>
      <c r="GE255" s="175"/>
      <c r="GF255" s="175"/>
      <c r="GG255" s="175"/>
      <c r="GH255" s="175"/>
      <c r="GI255" s="175"/>
      <c r="GJ255" s="175"/>
      <c r="GK255" s="175"/>
      <c r="GL255" s="175"/>
      <c r="GM255" s="175"/>
      <c r="GN255" s="175"/>
      <c r="GO255" s="175"/>
      <c r="GP255" s="175"/>
      <c r="GQ255" s="175"/>
      <c r="GR255" s="175"/>
      <c r="GS255" s="175"/>
      <c r="GT255" s="175"/>
      <c r="GU255" s="175"/>
      <c r="GV255" s="175"/>
      <c r="GW255" s="175"/>
      <c r="GX255" s="175"/>
      <c r="GY255" s="175"/>
      <c r="GZ255" s="175"/>
      <c r="HA255" s="175"/>
      <c r="HB255" s="175"/>
      <c r="HC255" s="175"/>
      <c r="HD255" s="175"/>
      <c r="HE255" s="175"/>
      <c r="HF255" s="175"/>
      <c r="HG255" s="175"/>
      <c r="HH255" s="175"/>
      <c r="HI255" s="175"/>
      <c r="HJ255" s="175"/>
      <c r="HK255" s="175"/>
      <c r="HL255" s="175"/>
      <c r="HM255" s="175"/>
      <c r="HN255" s="175"/>
      <c r="HO255" s="175"/>
      <c r="HP255" s="175"/>
      <c r="HQ255" s="175"/>
      <c r="HR255" s="175"/>
      <c r="HS255" s="175"/>
      <c r="HT255" s="175"/>
      <c r="HU255" s="175"/>
      <c r="HV255" s="175"/>
      <c r="HW255" s="175"/>
      <c r="HX255" s="175"/>
      <c r="HY255" s="175"/>
      <c r="HZ255" s="175"/>
      <c r="IA255" s="175"/>
      <c r="IB255" s="175"/>
      <c r="IC255" s="175"/>
      <c r="ID255" s="175"/>
      <c r="IE255" s="175"/>
      <c r="IF255" s="175"/>
      <c r="IG255" s="175"/>
      <c r="IH255" s="175"/>
      <c r="II255" s="175"/>
      <c r="IJ255" s="175"/>
      <c r="IK255" s="175"/>
      <c r="IL255" s="175"/>
      <c r="IM255" s="175"/>
      <c r="IN255" s="175"/>
      <c r="IO255" s="175"/>
      <c r="IP255" s="175"/>
      <c r="IQ255" s="175"/>
      <c r="IR255" s="175"/>
      <c r="IS255" s="175"/>
      <c r="IT255" s="175"/>
      <c r="IU255" s="175"/>
      <c r="IV255" s="175"/>
      <c r="IW255" s="175"/>
      <c r="IX255" s="175"/>
      <c r="IY255" s="175"/>
      <c r="IZ255" s="175"/>
      <c r="JA255" s="175"/>
      <c r="JB255" s="175"/>
      <c r="JC255" s="175"/>
      <c r="JD255" s="175"/>
      <c r="JE255" s="175"/>
      <c r="JF255" s="175"/>
      <c r="JG255" s="175"/>
      <c r="JH255" s="175"/>
      <c r="JI255" s="175"/>
      <c r="JJ255" s="175"/>
      <c r="JK255" s="175"/>
      <c r="JL255" s="175"/>
      <c r="JM255" s="175"/>
      <c r="JN255" s="175"/>
      <c r="JO255" s="175"/>
      <c r="JP255" s="175"/>
      <c r="JQ255" s="175"/>
      <c r="JR255" s="175"/>
      <c r="JS255" s="175"/>
      <c r="JT255" s="175"/>
      <c r="JU255" s="175"/>
      <c r="JV255" s="175"/>
      <c r="JW255" s="175"/>
      <c r="JX255" s="175"/>
      <c r="JY255" s="175"/>
      <c r="JZ255" s="175"/>
      <c r="KA255" s="175"/>
      <c r="KB255" s="175"/>
      <c r="KC255" s="175"/>
      <c r="KD255" s="175"/>
      <c r="KE255" s="175"/>
      <c r="KF255" s="175"/>
      <c r="KG255" s="175"/>
      <c r="KH255" s="175"/>
      <c r="KI255" s="175"/>
      <c r="KJ255" s="175"/>
      <c r="KK255" s="175"/>
      <c r="KL255" s="175"/>
      <c r="KM255" s="175"/>
      <c r="KN255" s="175"/>
      <c r="KO255" s="175"/>
      <c r="KP255" s="175"/>
      <c r="KQ255" s="175"/>
      <c r="KR255" s="175"/>
      <c r="KS255" s="175"/>
      <c r="KT255" s="175"/>
      <c r="KU255" s="175"/>
    </row>
    <row r="256" spans="1:307" x14ac:dyDescent="0.2">
      <c r="A256" s="172"/>
      <c r="B256" s="172"/>
      <c r="C256" s="172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/>
      <c r="BA256" s="172"/>
      <c r="BB256" s="172"/>
      <c r="BC256" s="172"/>
      <c r="BD256" s="172"/>
      <c r="BE256" s="172"/>
      <c r="BF256" s="172"/>
      <c r="BG256" s="172"/>
      <c r="BH256" s="172"/>
      <c r="BI256" s="172"/>
      <c r="BJ256" s="172"/>
      <c r="BK256" s="172"/>
      <c r="BL256" s="172"/>
      <c r="BM256" s="172"/>
      <c r="BN256" s="172"/>
      <c r="BO256" s="172"/>
      <c r="BP256" s="172"/>
      <c r="BQ256" s="172"/>
      <c r="BR256" s="172"/>
      <c r="BS256" s="172"/>
      <c r="BT256" s="172"/>
      <c r="BU256" s="172"/>
      <c r="BV256" s="172"/>
      <c r="BW256" s="172"/>
      <c r="BX256" s="175"/>
      <c r="BY256" s="175"/>
      <c r="BZ256" s="175"/>
      <c r="CA256" s="175"/>
      <c r="CB256" s="175"/>
      <c r="CC256" s="175"/>
      <c r="CD256" s="175"/>
      <c r="CE256" s="175"/>
      <c r="CF256" s="175"/>
      <c r="CG256" s="175"/>
      <c r="CH256" s="175"/>
      <c r="CI256" s="175"/>
      <c r="CJ256" s="175"/>
      <c r="CK256" s="175"/>
      <c r="CL256" s="175"/>
      <c r="CM256" s="175"/>
      <c r="CN256" s="175"/>
      <c r="CO256" s="175"/>
      <c r="CP256" s="175"/>
      <c r="CQ256" s="175"/>
      <c r="CR256" s="175"/>
      <c r="CS256" s="175"/>
      <c r="CT256" s="175"/>
      <c r="CU256" s="175"/>
      <c r="CV256" s="175"/>
      <c r="CW256" s="175"/>
      <c r="CX256" s="175"/>
      <c r="CY256" s="175"/>
      <c r="CZ256" s="175"/>
      <c r="DA256" s="175"/>
      <c r="DB256" s="175"/>
      <c r="DC256" s="175"/>
      <c r="DD256" s="175"/>
      <c r="DE256" s="175"/>
      <c r="DF256" s="175"/>
      <c r="DG256" s="175"/>
      <c r="DH256" s="175"/>
      <c r="DI256" s="175"/>
      <c r="DJ256" s="175"/>
      <c r="DK256" s="175"/>
      <c r="DL256" s="175"/>
      <c r="DM256" s="175"/>
      <c r="DN256" s="175"/>
      <c r="DO256" s="175"/>
      <c r="DP256" s="175"/>
      <c r="DQ256" s="175"/>
      <c r="DR256" s="175"/>
      <c r="DS256" s="175"/>
      <c r="DT256" s="175"/>
      <c r="DU256" s="175"/>
      <c r="DV256" s="175"/>
      <c r="DW256" s="175"/>
      <c r="DX256" s="175"/>
      <c r="DY256" s="175"/>
      <c r="DZ256" s="175"/>
      <c r="EA256" s="175"/>
      <c r="EB256" s="175"/>
      <c r="EC256" s="175"/>
      <c r="ED256" s="175"/>
      <c r="EE256" s="175"/>
      <c r="EF256" s="175"/>
      <c r="EG256" s="175"/>
      <c r="EH256" s="175"/>
      <c r="EI256" s="175"/>
      <c r="EJ256" s="175"/>
      <c r="EK256" s="175"/>
      <c r="EL256" s="175"/>
      <c r="EM256" s="175"/>
      <c r="EN256" s="175"/>
      <c r="EO256" s="175"/>
      <c r="EP256" s="175"/>
      <c r="EQ256" s="175"/>
      <c r="ER256" s="175"/>
      <c r="ES256" s="175"/>
      <c r="ET256" s="175"/>
      <c r="EU256" s="175"/>
      <c r="EV256" s="175"/>
      <c r="EW256" s="175"/>
      <c r="EX256" s="175"/>
      <c r="EY256" s="175"/>
      <c r="EZ256" s="175"/>
      <c r="FA256" s="175"/>
      <c r="FB256" s="175"/>
      <c r="FC256" s="175"/>
      <c r="FD256" s="175"/>
      <c r="FE256" s="175"/>
      <c r="FF256" s="175"/>
      <c r="FG256" s="175"/>
      <c r="FH256" s="175"/>
      <c r="FI256" s="175"/>
      <c r="FJ256" s="175"/>
      <c r="FK256" s="175"/>
      <c r="FL256" s="175"/>
      <c r="FM256" s="175"/>
      <c r="FN256" s="175"/>
      <c r="FO256" s="175"/>
      <c r="FP256" s="175"/>
      <c r="FQ256" s="175"/>
      <c r="FR256" s="175"/>
      <c r="FS256" s="175"/>
      <c r="FT256" s="175"/>
      <c r="FU256" s="175"/>
      <c r="FV256" s="175"/>
      <c r="FW256" s="175"/>
      <c r="FX256" s="175"/>
      <c r="FY256" s="175"/>
      <c r="FZ256" s="175"/>
      <c r="GA256" s="175"/>
      <c r="GB256" s="175"/>
      <c r="GC256" s="175"/>
      <c r="GD256" s="175"/>
      <c r="GE256" s="175"/>
      <c r="GF256" s="175"/>
      <c r="GG256" s="175"/>
      <c r="GH256" s="175"/>
      <c r="GI256" s="175"/>
      <c r="GJ256" s="175"/>
      <c r="GK256" s="175"/>
      <c r="GL256" s="175"/>
      <c r="GM256" s="175"/>
      <c r="GN256" s="175"/>
      <c r="GO256" s="175"/>
      <c r="GP256" s="175"/>
      <c r="GQ256" s="175"/>
      <c r="GR256" s="175"/>
      <c r="GS256" s="175"/>
      <c r="GT256" s="175"/>
      <c r="GU256" s="175"/>
      <c r="GV256" s="175"/>
      <c r="GW256" s="175"/>
      <c r="GX256" s="175"/>
      <c r="GY256" s="175"/>
      <c r="GZ256" s="175"/>
      <c r="HA256" s="175"/>
      <c r="HB256" s="175"/>
      <c r="HC256" s="175"/>
      <c r="HD256" s="175"/>
      <c r="HE256" s="175"/>
      <c r="HF256" s="175"/>
      <c r="HG256" s="175"/>
      <c r="HH256" s="175"/>
      <c r="HI256" s="175"/>
      <c r="HJ256" s="175"/>
      <c r="HK256" s="175"/>
      <c r="HL256" s="175"/>
      <c r="HM256" s="175"/>
      <c r="HN256" s="175"/>
      <c r="HO256" s="175"/>
      <c r="HP256" s="175"/>
      <c r="HQ256" s="175"/>
      <c r="HR256" s="175"/>
      <c r="HS256" s="175"/>
      <c r="HT256" s="175"/>
      <c r="HU256" s="175"/>
      <c r="HV256" s="175"/>
      <c r="HW256" s="175"/>
      <c r="HX256" s="175"/>
      <c r="HY256" s="175"/>
      <c r="HZ256" s="175"/>
      <c r="IA256" s="175"/>
      <c r="IB256" s="175"/>
      <c r="IC256" s="175"/>
      <c r="ID256" s="175"/>
      <c r="IE256" s="175"/>
      <c r="IF256" s="175"/>
      <c r="IG256" s="175"/>
      <c r="IH256" s="175"/>
      <c r="II256" s="175"/>
      <c r="IJ256" s="175"/>
      <c r="IK256" s="175"/>
      <c r="IL256" s="175"/>
      <c r="IM256" s="175"/>
      <c r="IN256" s="175"/>
      <c r="IO256" s="175"/>
      <c r="IP256" s="175"/>
      <c r="IQ256" s="175"/>
      <c r="IR256" s="175"/>
      <c r="IS256" s="175"/>
      <c r="IT256" s="175"/>
      <c r="IU256" s="175"/>
      <c r="IV256" s="175"/>
      <c r="IW256" s="175"/>
      <c r="IX256" s="175"/>
      <c r="IY256" s="175"/>
      <c r="IZ256" s="175"/>
      <c r="JA256" s="175"/>
      <c r="JB256" s="175"/>
      <c r="JC256" s="175"/>
      <c r="JD256" s="175"/>
      <c r="JE256" s="175"/>
      <c r="JF256" s="175"/>
      <c r="JG256" s="175"/>
      <c r="JH256" s="175"/>
      <c r="JI256" s="175"/>
      <c r="JJ256" s="175"/>
      <c r="JK256" s="175"/>
      <c r="JL256" s="175"/>
      <c r="JM256" s="175"/>
      <c r="JN256" s="175"/>
      <c r="JO256" s="175"/>
      <c r="JP256" s="175"/>
      <c r="JQ256" s="175"/>
      <c r="JR256" s="175"/>
      <c r="JS256" s="175"/>
      <c r="JT256" s="175"/>
      <c r="JU256" s="175"/>
      <c r="JV256" s="175"/>
      <c r="JW256" s="175"/>
      <c r="JX256" s="175"/>
      <c r="JY256" s="175"/>
      <c r="JZ256" s="175"/>
      <c r="KA256" s="175"/>
      <c r="KB256" s="175"/>
      <c r="KC256" s="175"/>
      <c r="KD256" s="175"/>
      <c r="KE256" s="175"/>
      <c r="KF256" s="175"/>
      <c r="KG256" s="175"/>
      <c r="KH256" s="175"/>
      <c r="KI256" s="175"/>
      <c r="KJ256" s="175"/>
      <c r="KK256" s="175"/>
      <c r="KL256" s="175"/>
      <c r="KM256" s="175"/>
      <c r="KN256" s="175"/>
      <c r="KO256" s="175"/>
      <c r="KP256" s="175"/>
      <c r="KQ256" s="175"/>
      <c r="KR256" s="175"/>
      <c r="KS256" s="175"/>
      <c r="KT256" s="175"/>
      <c r="KU256" s="175"/>
    </row>
    <row r="257" spans="1:307" x14ac:dyDescent="0.2">
      <c r="A257" s="172"/>
      <c r="B257" s="172"/>
      <c r="C257" s="172"/>
      <c r="D257" s="172"/>
      <c r="E257" s="172"/>
      <c r="F257" s="172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/>
      <c r="BA257" s="172"/>
      <c r="BB257" s="172"/>
      <c r="BC257" s="172"/>
      <c r="BD257" s="172"/>
      <c r="BE257" s="172"/>
      <c r="BF257" s="172"/>
      <c r="BG257" s="172"/>
      <c r="BH257" s="172"/>
      <c r="BI257" s="172"/>
      <c r="BJ257" s="172"/>
      <c r="BK257" s="172"/>
      <c r="BL257" s="172"/>
      <c r="BM257" s="172"/>
      <c r="BN257" s="172"/>
      <c r="BO257" s="172"/>
      <c r="BP257" s="172"/>
      <c r="BQ257" s="172"/>
      <c r="BR257" s="172"/>
      <c r="BS257" s="172"/>
      <c r="BT257" s="172"/>
      <c r="BU257" s="172"/>
      <c r="BV257" s="172"/>
      <c r="BW257" s="172"/>
      <c r="BX257" s="175"/>
      <c r="BY257" s="175"/>
      <c r="BZ257" s="175"/>
      <c r="CA257" s="175"/>
      <c r="CB257" s="175"/>
      <c r="CC257" s="175"/>
      <c r="CD257" s="175"/>
      <c r="CE257" s="175"/>
      <c r="CF257" s="175"/>
      <c r="CG257" s="175"/>
      <c r="CH257" s="175"/>
      <c r="CI257" s="175"/>
      <c r="CJ257" s="175"/>
      <c r="CK257" s="175"/>
      <c r="CL257" s="175"/>
      <c r="CM257" s="175"/>
      <c r="CN257" s="175"/>
      <c r="CO257" s="175"/>
      <c r="CP257" s="175"/>
      <c r="CQ257" s="175"/>
      <c r="CR257" s="175"/>
      <c r="CS257" s="175"/>
      <c r="CT257" s="175"/>
      <c r="CU257" s="175"/>
      <c r="CV257" s="175"/>
      <c r="CW257" s="175"/>
      <c r="CX257" s="175"/>
      <c r="CY257" s="175"/>
      <c r="CZ257" s="175"/>
      <c r="DA257" s="175"/>
      <c r="DB257" s="175"/>
      <c r="DC257" s="175"/>
      <c r="DD257" s="175"/>
      <c r="DE257" s="175"/>
      <c r="DF257" s="175"/>
      <c r="DG257" s="175"/>
      <c r="DH257" s="175"/>
      <c r="DI257" s="175"/>
      <c r="DJ257" s="175"/>
      <c r="DK257" s="175"/>
      <c r="DL257" s="175"/>
      <c r="DM257" s="175"/>
      <c r="DN257" s="175"/>
      <c r="DO257" s="175"/>
      <c r="DP257" s="175"/>
      <c r="DQ257" s="175"/>
      <c r="DR257" s="175"/>
      <c r="DS257" s="175"/>
      <c r="DT257" s="175"/>
      <c r="DU257" s="175"/>
      <c r="DV257" s="175"/>
      <c r="DW257" s="175"/>
      <c r="DX257" s="175"/>
      <c r="DY257" s="175"/>
      <c r="DZ257" s="175"/>
      <c r="EA257" s="175"/>
      <c r="EB257" s="175"/>
      <c r="EC257" s="175"/>
      <c r="ED257" s="175"/>
      <c r="EE257" s="175"/>
      <c r="EF257" s="175"/>
      <c r="EG257" s="175"/>
      <c r="EH257" s="175"/>
      <c r="EI257" s="175"/>
      <c r="EJ257" s="175"/>
      <c r="EK257" s="175"/>
      <c r="EL257" s="175"/>
      <c r="EM257" s="175"/>
      <c r="EN257" s="175"/>
      <c r="EO257" s="175"/>
      <c r="EP257" s="175"/>
      <c r="EQ257" s="175"/>
      <c r="ER257" s="175"/>
      <c r="ES257" s="175"/>
      <c r="ET257" s="175"/>
      <c r="EU257" s="175"/>
      <c r="EV257" s="175"/>
      <c r="EW257" s="175"/>
      <c r="EX257" s="175"/>
      <c r="EY257" s="175"/>
      <c r="EZ257" s="175"/>
      <c r="FA257" s="175"/>
      <c r="FB257" s="175"/>
      <c r="FC257" s="175"/>
      <c r="FD257" s="175"/>
      <c r="FE257" s="175"/>
      <c r="FF257" s="175"/>
      <c r="FG257" s="175"/>
      <c r="FH257" s="175"/>
      <c r="FI257" s="175"/>
      <c r="FJ257" s="175"/>
      <c r="FK257" s="175"/>
      <c r="FL257" s="175"/>
      <c r="FM257" s="175"/>
      <c r="FN257" s="175"/>
      <c r="FO257" s="175"/>
      <c r="FP257" s="175"/>
      <c r="FQ257" s="175"/>
      <c r="FR257" s="175"/>
      <c r="FS257" s="175"/>
      <c r="FT257" s="175"/>
      <c r="FU257" s="175"/>
      <c r="FV257" s="175"/>
      <c r="FW257" s="175"/>
      <c r="FX257" s="175"/>
      <c r="FY257" s="175"/>
      <c r="FZ257" s="175"/>
      <c r="GA257" s="175"/>
      <c r="GB257" s="175"/>
      <c r="GC257" s="175"/>
      <c r="GD257" s="175"/>
      <c r="GE257" s="175"/>
      <c r="GF257" s="175"/>
      <c r="GG257" s="175"/>
      <c r="GH257" s="175"/>
      <c r="GI257" s="175"/>
      <c r="GJ257" s="175"/>
      <c r="GK257" s="175"/>
      <c r="GL257" s="175"/>
      <c r="GM257" s="175"/>
      <c r="GN257" s="175"/>
      <c r="GO257" s="175"/>
      <c r="GP257" s="175"/>
      <c r="GQ257" s="175"/>
      <c r="GR257" s="175"/>
      <c r="GS257" s="175"/>
      <c r="GT257" s="175"/>
      <c r="GU257" s="175"/>
      <c r="GV257" s="175"/>
      <c r="GW257" s="175"/>
      <c r="GX257" s="175"/>
      <c r="GY257" s="175"/>
      <c r="GZ257" s="175"/>
      <c r="HA257" s="175"/>
      <c r="HB257" s="175"/>
      <c r="HC257" s="175"/>
      <c r="HD257" s="175"/>
      <c r="HE257" s="175"/>
      <c r="HF257" s="175"/>
      <c r="HG257" s="175"/>
      <c r="HH257" s="175"/>
      <c r="HI257" s="175"/>
      <c r="HJ257" s="175"/>
      <c r="HK257" s="175"/>
      <c r="HL257" s="175"/>
      <c r="HM257" s="175"/>
      <c r="HN257" s="175"/>
      <c r="HO257" s="175"/>
      <c r="HP257" s="175"/>
      <c r="HQ257" s="175"/>
      <c r="HR257" s="175"/>
      <c r="HS257" s="175"/>
      <c r="HT257" s="175"/>
      <c r="HU257" s="175"/>
      <c r="HV257" s="175"/>
      <c r="HW257" s="175"/>
      <c r="HX257" s="175"/>
      <c r="HY257" s="175"/>
      <c r="HZ257" s="175"/>
      <c r="IA257" s="175"/>
      <c r="IB257" s="175"/>
      <c r="IC257" s="175"/>
      <c r="ID257" s="175"/>
      <c r="IE257" s="175"/>
      <c r="IF257" s="175"/>
      <c r="IG257" s="175"/>
      <c r="IH257" s="175"/>
      <c r="II257" s="175"/>
      <c r="IJ257" s="175"/>
      <c r="IK257" s="175"/>
      <c r="IL257" s="175"/>
      <c r="IM257" s="175"/>
      <c r="IN257" s="175"/>
      <c r="IO257" s="175"/>
      <c r="IP257" s="175"/>
      <c r="IQ257" s="175"/>
      <c r="IR257" s="175"/>
      <c r="IS257" s="175"/>
      <c r="IT257" s="175"/>
      <c r="IU257" s="175"/>
      <c r="IV257" s="175"/>
      <c r="IW257" s="175"/>
      <c r="IX257" s="175"/>
      <c r="IY257" s="175"/>
      <c r="IZ257" s="175"/>
      <c r="JA257" s="175"/>
      <c r="JB257" s="175"/>
      <c r="JC257" s="175"/>
      <c r="JD257" s="175"/>
      <c r="JE257" s="175"/>
      <c r="JF257" s="175"/>
      <c r="JG257" s="175"/>
      <c r="JH257" s="175"/>
      <c r="JI257" s="175"/>
      <c r="JJ257" s="175"/>
      <c r="JK257" s="175"/>
      <c r="JL257" s="175"/>
      <c r="JM257" s="175"/>
      <c r="JN257" s="175"/>
      <c r="JO257" s="175"/>
      <c r="JP257" s="175"/>
      <c r="JQ257" s="175"/>
      <c r="JR257" s="175"/>
      <c r="JS257" s="175"/>
      <c r="JT257" s="175"/>
      <c r="JU257" s="175"/>
      <c r="JV257" s="175"/>
      <c r="JW257" s="175"/>
      <c r="JX257" s="175"/>
      <c r="JY257" s="175"/>
      <c r="JZ257" s="175"/>
      <c r="KA257" s="175"/>
      <c r="KB257" s="175"/>
      <c r="KC257" s="175"/>
      <c r="KD257" s="175"/>
      <c r="KE257" s="175"/>
      <c r="KF257" s="175"/>
      <c r="KG257" s="175"/>
      <c r="KH257" s="175"/>
      <c r="KI257" s="175"/>
      <c r="KJ257" s="175"/>
      <c r="KK257" s="175"/>
      <c r="KL257" s="175"/>
      <c r="KM257" s="175"/>
      <c r="KN257" s="175"/>
      <c r="KO257" s="175"/>
      <c r="KP257" s="175"/>
      <c r="KQ257" s="175"/>
      <c r="KR257" s="175"/>
      <c r="KS257" s="175"/>
      <c r="KT257" s="175"/>
      <c r="KU257" s="175"/>
    </row>
    <row r="258" spans="1:307" x14ac:dyDescent="0.2">
      <c r="A258" s="172"/>
      <c r="B258" s="172"/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72"/>
      <c r="BN258" s="172"/>
      <c r="BO258" s="172"/>
      <c r="BP258" s="172"/>
      <c r="BQ258" s="172"/>
      <c r="BR258" s="172"/>
      <c r="BS258" s="172"/>
      <c r="BT258" s="172"/>
      <c r="BU258" s="172"/>
      <c r="BV258" s="172"/>
      <c r="BW258" s="172"/>
      <c r="BX258" s="175"/>
      <c r="BY258" s="175"/>
      <c r="BZ258" s="175"/>
      <c r="CA258" s="175"/>
      <c r="CB258" s="175"/>
      <c r="CC258" s="175"/>
      <c r="CD258" s="175"/>
      <c r="CE258" s="175"/>
      <c r="CF258" s="175"/>
      <c r="CG258" s="175"/>
      <c r="CH258" s="175"/>
      <c r="CI258" s="175"/>
      <c r="CJ258" s="175"/>
      <c r="CK258" s="175"/>
      <c r="CL258" s="175"/>
      <c r="CM258" s="175"/>
      <c r="CN258" s="175"/>
      <c r="CO258" s="175"/>
      <c r="CP258" s="175"/>
      <c r="CQ258" s="175"/>
      <c r="CR258" s="175"/>
      <c r="CS258" s="175"/>
      <c r="CT258" s="175"/>
      <c r="CU258" s="175"/>
      <c r="CV258" s="175"/>
      <c r="CW258" s="175"/>
      <c r="CX258" s="175"/>
      <c r="CY258" s="175"/>
      <c r="CZ258" s="175"/>
      <c r="DA258" s="175"/>
      <c r="DB258" s="175"/>
      <c r="DC258" s="175"/>
      <c r="DD258" s="175"/>
      <c r="DE258" s="175"/>
      <c r="DF258" s="175"/>
      <c r="DG258" s="175"/>
      <c r="DH258" s="175"/>
      <c r="DI258" s="175"/>
      <c r="DJ258" s="175"/>
      <c r="DK258" s="175"/>
      <c r="DL258" s="175"/>
      <c r="DM258" s="175"/>
      <c r="DN258" s="175"/>
      <c r="DO258" s="175"/>
      <c r="DP258" s="175"/>
      <c r="DQ258" s="175"/>
      <c r="DR258" s="175"/>
      <c r="DS258" s="175"/>
      <c r="DT258" s="175"/>
      <c r="DU258" s="175"/>
      <c r="DV258" s="175"/>
      <c r="DW258" s="175"/>
      <c r="DX258" s="175"/>
      <c r="DY258" s="175"/>
      <c r="DZ258" s="175"/>
      <c r="EA258" s="175"/>
      <c r="EB258" s="175"/>
      <c r="EC258" s="175"/>
      <c r="ED258" s="175"/>
      <c r="EE258" s="175"/>
      <c r="EF258" s="175"/>
      <c r="EG258" s="175"/>
      <c r="EH258" s="175"/>
      <c r="EI258" s="175"/>
      <c r="EJ258" s="175"/>
      <c r="EK258" s="175"/>
      <c r="EL258" s="175"/>
      <c r="EM258" s="175"/>
      <c r="EN258" s="175"/>
      <c r="EO258" s="175"/>
      <c r="EP258" s="175"/>
      <c r="EQ258" s="175"/>
      <c r="ER258" s="175"/>
      <c r="ES258" s="175"/>
      <c r="ET258" s="175"/>
      <c r="EU258" s="175"/>
      <c r="EV258" s="175"/>
      <c r="EW258" s="175"/>
      <c r="EX258" s="175"/>
      <c r="EY258" s="175"/>
      <c r="EZ258" s="175"/>
      <c r="FA258" s="175"/>
      <c r="FB258" s="175"/>
      <c r="FC258" s="175"/>
      <c r="FD258" s="175"/>
      <c r="FE258" s="175"/>
      <c r="FF258" s="175"/>
      <c r="FG258" s="175"/>
      <c r="FH258" s="175"/>
      <c r="FI258" s="175"/>
      <c r="FJ258" s="175"/>
      <c r="FK258" s="175"/>
      <c r="FL258" s="175"/>
      <c r="FM258" s="175"/>
      <c r="FN258" s="175"/>
      <c r="FO258" s="175"/>
      <c r="FP258" s="175"/>
      <c r="FQ258" s="175"/>
      <c r="FR258" s="175"/>
      <c r="FS258" s="175"/>
      <c r="FT258" s="175"/>
      <c r="FU258" s="175"/>
      <c r="FV258" s="175"/>
      <c r="FW258" s="175"/>
      <c r="FX258" s="175"/>
      <c r="FY258" s="175"/>
      <c r="FZ258" s="175"/>
      <c r="GA258" s="175"/>
      <c r="GB258" s="175"/>
      <c r="GC258" s="175"/>
      <c r="GD258" s="175"/>
      <c r="GE258" s="175"/>
      <c r="GF258" s="175"/>
      <c r="GG258" s="175"/>
      <c r="GH258" s="175"/>
      <c r="GI258" s="175"/>
      <c r="GJ258" s="175"/>
      <c r="GK258" s="175"/>
      <c r="GL258" s="175"/>
      <c r="GM258" s="175"/>
      <c r="GN258" s="175"/>
      <c r="GO258" s="175"/>
      <c r="GP258" s="175"/>
      <c r="GQ258" s="175"/>
      <c r="GR258" s="175"/>
      <c r="GS258" s="175"/>
      <c r="GT258" s="175"/>
      <c r="GU258" s="175"/>
      <c r="GV258" s="175"/>
      <c r="GW258" s="175"/>
      <c r="GX258" s="175"/>
      <c r="GY258" s="175"/>
      <c r="GZ258" s="175"/>
      <c r="HA258" s="175"/>
      <c r="HB258" s="175"/>
      <c r="HC258" s="175"/>
      <c r="HD258" s="175"/>
      <c r="HE258" s="175"/>
      <c r="HF258" s="175"/>
      <c r="HG258" s="175"/>
      <c r="HH258" s="175"/>
      <c r="HI258" s="175"/>
      <c r="HJ258" s="175"/>
      <c r="HK258" s="175"/>
      <c r="HL258" s="175"/>
      <c r="HM258" s="175"/>
      <c r="HN258" s="175"/>
      <c r="HO258" s="175"/>
      <c r="HP258" s="175"/>
      <c r="HQ258" s="175"/>
      <c r="HR258" s="175"/>
      <c r="HS258" s="175"/>
      <c r="HT258" s="175"/>
      <c r="HU258" s="175"/>
      <c r="HV258" s="175"/>
      <c r="HW258" s="175"/>
      <c r="HX258" s="175"/>
      <c r="HY258" s="175"/>
      <c r="HZ258" s="175"/>
      <c r="IA258" s="175"/>
      <c r="IB258" s="175"/>
      <c r="IC258" s="175"/>
      <c r="ID258" s="175"/>
      <c r="IE258" s="175"/>
      <c r="IF258" s="175"/>
      <c r="IG258" s="175"/>
      <c r="IH258" s="175"/>
      <c r="II258" s="175"/>
      <c r="IJ258" s="175"/>
      <c r="IK258" s="175"/>
      <c r="IL258" s="175"/>
      <c r="IM258" s="175"/>
      <c r="IN258" s="175"/>
      <c r="IO258" s="175"/>
      <c r="IP258" s="175"/>
      <c r="IQ258" s="175"/>
      <c r="IR258" s="175"/>
      <c r="IS258" s="175"/>
      <c r="IT258" s="175"/>
      <c r="IU258" s="175"/>
      <c r="IV258" s="175"/>
      <c r="IW258" s="175"/>
      <c r="IX258" s="175"/>
      <c r="IY258" s="175"/>
      <c r="IZ258" s="175"/>
      <c r="JA258" s="175"/>
      <c r="JB258" s="175"/>
      <c r="JC258" s="175"/>
      <c r="JD258" s="175"/>
      <c r="JE258" s="175"/>
      <c r="JF258" s="175"/>
      <c r="JG258" s="175"/>
      <c r="JH258" s="175"/>
      <c r="JI258" s="175"/>
      <c r="JJ258" s="175"/>
      <c r="JK258" s="175"/>
      <c r="JL258" s="175"/>
      <c r="JM258" s="175"/>
      <c r="JN258" s="175"/>
      <c r="JO258" s="175"/>
      <c r="JP258" s="175"/>
      <c r="JQ258" s="175"/>
      <c r="JR258" s="175"/>
      <c r="JS258" s="175"/>
      <c r="JT258" s="175"/>
      <c r="JU258" s="175"/>
      <c r="JV258" s="175"/>
      <c r="JW258" s="175"/>
      <c r="JX258" s="175"/>
      <c r="JY258" s="175"/>
      <c r="JZ258" s="175"/>
      <c r="KA258" s="175"/>
      <c r="KB258" s="175"/>
      <c r="KC258" s="175"/>
      <c r="KD258" s="175"/>
      <c r="KE258" s="175"/>
      <c r="KF258" s="175"/>
      <c r="KG258" s="175"/>
      <c r="KH258" s="175"/>
      <c r="KI258" s="175"/>
      <c r="KJ258" s="175"/>
      <c r="KK258" s="175"/>
      <c r="KL258" s="175"/>
      <c r="KM258" s="175"/>
      <c r="KN258" s="175"/>
      <c r="KO258" s="175"/>
      <c r="KP258" s="175"/>
      <c r="KQ258" s="175"/>
      <c r="KR258" s="175"/>
      <c r="KS258" s="175"/>
      <c r="KT258" s="175"/>
      <c r="KU258" s="175"/>
    </row>
    <row r="259" spans="1:307" x14ac:dyDescent="0.2">
      <c r="A259" s="172"/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  <c r="BD259" s="172"/>
      <c r="BE259" s="172"/>
      <c r="BF259" s="172"/>
      <c r="BG259" s="172"/>
      <c r="BH259" s="172"/>
      <c r="BI259" s="172"/>
      <c r="BJ259" s="172"/>
      <c r="BK259" s="172"/>
      <c r="BL259" s="172"/>
      <c r="BM259" s="172"/>
      <c r="BN259" s="172"/>
      <c r="BO259" s="172"/>
      <c r="BP259" s="172"/>
      <c r="BQ259" s="172"/>
      <c r="BR259" s="172"/>
      <c r="BS259" s="172"/>
      <c r="BT259" s="172"/>
      <c r="BU259" s="172"/>
      <c r="BV259" s="172"/>
      <c r="BW259" s="172"/>
      <c r="BX259" s="175"/>
      <c r="BY259" s="175"/>
      <c r="BZ259" s="175"/>
      <c r="CA259" s="175"/>
      <c r="CB259" s="175"/>
      <c r="CC259" s="175"/>
      <c r="CD259" s="175"/>
      <c r="CE259" s="175"/>
      <c r="CF259" s="175"/>
      <c r="CG259" s="175"/>
      <c r="CH259" s="175"/>
      <c r="CI259" s="175"/>
      <c r="CJ259" s="175"/>
      <c r="CK259" s="175"/>
      <c r="CL259" s="175"/>
      <c r="CM259" s="175"/>
      <c r="CN259" s="175"/>
      <c r="CO259" s="175"/>
      <c r="CP259" s="175"/>
      <c r="CQ259" s="175"/>
      <c r="CR259" s="175"/>
      <c r="CS259" s="175"/>
      <c r="CT259" s="175"/>
      <c r="CU259" s="175"/>
      <c r="CV259" s="175"/>
      <c r="CW259" s="175"/>
      <c r="CX259" s="175"/>
      <c r="CY259" s="175"/>
      <c r="CZ259" s="175"/>
      <c r="DA259" s="175"/>
      <c r="DB259" s="175"/>
      <c r="DC259" s="175"/>
      <c r="DD259" s="175"/>
      <c r="DE259" s="175"/>
      <c r="DF259" s="175"/>
      <c r="DG259" s="175"/>
      <c r="DH259" s="175"/>
      <c r="DI259" s="175"/>
      <c r="DJ259" s="175"/>
      <c r="DK259" s="175"/>
      <c r="DL259" s="175"/>
      <c r="DM259" s="175"/>
      <c r="DN259" s="175"/>
      <c r="DO259" s="175"/>
      <c r="DP259" s="175"/>
      <c r="DQ259" s="175"/>
      <c r="DR259" s="175"/>
      <c r="DS259" s="175"/>
      <c r="DT259" s="175"/>
      <c r="DU259" s="175"/>
      <c r="DV259" s="175"/>
      <c r="DW259" s="175"/>
      <c r="DX259" s="175"/>
      <c r="DY259" s="175"/>
      <c r="DZ259" s="175"/>
      <c r="EA259" s="175"/>
      <c r="EB259" s="175"/>
      <c r="EC259" s="175"/>
      <c r="ED259" s="175"/>
      <c r="EE259" s="175"/>
      <c r="EF259" s="175"/>
      <c r="EG259" s="175"/>
      <c r="EH259" s="175"/>
      <c r="EI259" s="175"/>
      <c r="EJ259" s="175"/>
      <c r="EK259" s="175"/>
      <c r="EL259" s="175"/>
      <c r="EM259" s="175"/>
      <c r="EN259" s="175"/>
      <c r="EO259" s="175"/>
      <c r="EP259" s="175"/>
      <c r="EQ259" s="175"/>
      <c r="ER259" s="175"/>
      <c r="ES259" s="175"/>
      <c r="ET259" s="175"/>
      <c r="EU259" s="175"/>
      <c r="EV259" s="175"/>
      <c r="EW259" s="175"/>
      <c r="EX259" s="175"/>
      <c r="EY259" s="175"/>
      <c r="EZ259" s="175"/>
      <c r="FA259" s="175"/>
      <c r="FB259" s="175"/>
      <c r="FC259" s="175"/>
      <c r="FD259" s="175"/>
      <c r="FE259" s="175"/>
      <c r="FF259" s="175"/>
      <c r="FG259" s="175"/>
      <c r="FH259" s="175"/>
      <c r="FI259" s="175"/>
      <c r="FJ259" s="175"/>
      <c r="FK259" s="175"/>
      <c r="FL259" s="175"/>
      <c r="FM259" s="175"/>
      <c r="FN259" s="175"/>
      <c r="FO259" s="175"/>
      <c r="FP259" s="175"/>
      <c r="FQ259" s="175"/>
      <c r="FR259" s="175"/>
      <c r="FS259" s="175"/>
      <c r="FT259" s="175"/>
      <c r="FU259" s="175"/>
      <c r="FV259" s="175"/>
      <c r="FW259" s="175"/>
      <c r="FX259" s="175"/>
      <c r="FY259" s="175"/>
      <c r="FZ259" s="175"/>
      <c r="GA259" s="175"/>
      <c r="GB259" s="175"/>
      <c r="GC259" s="175"/>
      <c r="GD259" s="175"/>
      <c r="GE259" s="175"/>
      <c r="GF259" s="175"/>
      <c r="GG259" s="175"/>
      <c r="GH259" s="175"/>
      <c r="GI259" s="175"/>
      <c r="GJ259" s="175"/>
      <c r="GK259" s="175"/>
      <c r="GL259" s="175"/>
      <c r="GM259" s="175"/>
      <c r="GN259" s="175"/>
      <c r="GO259" s="175"/>
      <c r="GP259" s="175"/>
      <c r="GQ259" s="175"/>
      <c r="GR259" s="175"/>
      <c r="GS259" s="175"/>
      <c r="GT259" s="175"/>
      <c r="GU259" s="175"/>
      <c r="GV259" s="175"/>
      <c r="GW259" s="175"/>
      <c r="GX259" s="175"/>
      <c r="GY259" s="175"/>
      <c r="GZ259" s="175"/>
      <c r="HA259" s="175"/>
      <c r="HB259" s="175"/>
      <c r="HC259" s="175"/>
      <c r="HD259" s="175"/>
      <c r="HE259" s="175"/>
      <c r="HF259" s="175"/>
      <c r="HG259" s="175"/>
      <c r="HH259" s="175"/>
      <c r="HI259" s="175"/>
      <c r="HJ259" s="175"/>
      <c r="HK259" s="175"/>
      <c r="HL259" s="175"/>
      <c r="HM259" s="175"/>
      <c r="HN259" s="175"/>
      <c r="HO259" s="175"/>
      <c r="HP259" s="175"/>
      <c r="HQ259" s="175"/>
      <c r="HR259" s="175"/>
      <c r="HS259" s="175"/>
      <c r="HT259" s="175"/>
      <c r="HU259" s="175"/>
      <c r="HV259" s="175"/>
      <c r="HW259" s="175"/>
      <c r="HX259" s="175"/>
      <c r="HY259" s="175"/>
      <c r="HZ259" s="175"/>
      <c r="IA259" s="175"/>
      <c r="IB259" s="175"/>
      <c r="IC259" s="175"/>
      <c r="ID259" s="175"/>
      <c r="IE259" s="175"/>
      <c r="IF259" s="175"/>
      <c r="IG259" s="175"/>
      <c r="IH259" s="175"/>
      <c r="II259" s="175"/>
      <c r="IJ259" s="175"/>
      <c r="IK259" s="175"/>
      <c r="IL259" s="175"/>
      <c r="IM259" s="175"/>
      <c r="IN259" s="175"/>
      <c r="IO259" s="175"/>
      <c r="IP259" s="175"/>
      <c r="IQ259" s="175"/>
      <c r="IR259" s="175"/>
      <c r="IS259" s="175"/>
      <c r="IT259" s="175"/>
      <c r="IU259" s="175"/>
      <c r="IV259" s="175"/>
      <c r="IW259" s="175"/>
      <c r="IX259" s="175"/>
      <c r="IY259" s="175"/>
      <c r="IZ259" s="175"/>
      <c r="JA259" s="175"/>
      <c r="JB259" s="175"/>
      <c r="JC259" s="175"/>
      <c r="JD259" s="175"/>
      <c r="JE259" s="175"/>
      <c r="JF259" s="175"/>
      <c r="JG259" s="175"/>
      <c r="JH259" s="175"/>
      <c r="JI259" s="175"/>
      <c r="JJ259" s="175"/>
      <c r="JK259" s="175"/>
      <c r="JL259" s="175"/>
      <c r="JM259" s="175"/>
      <c r="JN259" s="175"/>
      <c r="JO259" s="175"/>
      <c r="JP259" s="175"/>
      <c r="JQ259" s="175"/>
      <c r="JR259" s="175"/>
      <c r="JS259" s="175"/>
      <c r="JT259" s="175"/>
      <c r="JU259" s="175"/>
      <c r="JV259" s="175"/>
      <c r="JW259" s="175"/>
      <c r="JX259" s="175"/>
      <c r="JY259" s="175"/>
      <c r="JZ259" s="175"/>
      <c r="KA259" s="175"/>
      <c r="KB259" s="175"/>
      <c r="KC259" s="175"/>
      <c r="KD259" s="175"/>
      <c r="KE259" s="175"/>
      <c r="KF259" s="175"/>
      <c r="KG259" s="175"/>
      <c r="KH259" s="175"/>
      <c r="KI259" s="175"/>
      <c r="KJ259" s="175"/>
      <c r="KK259" s="175"/>
      <c r="KL259" s="175"/>
      <c r="KM259" s="175"/>
      <c r="KN259" s="175"/>
      <c r="KO259" s="175"/>
      <c r="KP259" s="175"/>
      <c r="KQ259" s="175"/>
      <c r="KR259" s="175"/>
      <c r="KS259" s="175"/>
      <c r="KT259" s="175"/>
      <c r="KU259" s="175"/>
    </row>
    <row r="260" spans="1:307" x14ac:dyDescent="0.2">
      <c r="A260" s="172"/>
      <c r="B260" s="172"/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  <c r="BE260" s="172"/>
      <c r="BF260" s="172"/>
      <c r="BG260" s="172"/>
      <c r="BH260" s="172"/>
      <c r="BI260" s="172"/>
      <c r="BJ260" s="172"/>
      <c r="BK260" s="172"/>
      <c r="BL260" s="172"/>
      <c r="BM260" s="172"/>
      <c r="BN260" s="172"/>
      <c r="BO260" s="172"/>
      <c r="BP260" s="172"/>
      <c r="BQ260" s="172"/>
      <c r="BR260" s="172"/>
      <c r="BS260" s="172"/>
      <c r="BT260" s="172"/>
      <c r="BU260" s="172"/>
      <c r="BV260" s="172"/>
      <c r="BW260" s="172"/>
      <c r="BX260" s="175"/>
      <c r="BY260" s="175"/>
      <c r="BZ260" s="175"/>
      <c r="CA260" s="175"/>
      <c r="CB260" s="175"/>
      <c r="CC260" s="175"/>
      <c r="CD260" s="175"/>
      <c r="CE260" s="175"/>
      <c r="CF260" s="175"/>
      <c r="CG260" s="175"/>
      <c r="CH260" s="175"/>
      <c r="CI260" s="175"/>
      <c r="CJ260" s="175"/>
      <c r="CK260" s="175"/>
      <c r="CL260" s="175"/>
      <c r="CM260" s="175"/>
      <c r="CN260" s="175"/>
      <c r="CO260" s="175"/>
      <c r="CP260" s="175"/>
      <c r="CQ260" s="175"/>
      <c r="CR260" s="175"/>
      <c r="CS260" s="175"/>
      <c r="CT260" s="175"/>
      <c r="CU260" s="175"/>
      <c r="CV260" s="175"/>
      <c r="CW260" s="175"/>
      <c r="CX260" s="175"/>
      <c r="CY260" s="175"/>
      <c r="CZ260" s="175"/>
      <c r="DA260" s="175"/>
      <c r="DB260" s="175"/>
      <c r="DC260" s="175"/>
      <c r="DD260" s="175"/>
      <c r="DE260" s="175"/>
      <c r="DF260" s="175"/>
      <c r="DG260" s="175"/>
      <c r="DH260" s="175"/>
      <c r="DI260" s="175"/>
      <c r="DJ260" s="175"/>
      <c r="DK260" s="175"/>
      <c r="DL260" s="175"/>
      <c r="DM260" s="175"/>
      <c r="DN260" s="175"/>
      <c r="DO260" s="175"/>
      <c r="DP260" s="175"/>
      <c r="DQ260" s="175"/>
      <c r="DR260" s="175"/>
      <c r="DS260" s="175"/>
      <c r="DT260" s="175"/>
      <c r="DU260" s="175"/>
      <c r="DV260" s="175"/>
      <c r="DW260" s="175"/>
      <c r="DX260" s="175"/>
      <c r="DY260" s="175"/>
      <c r="DZ260" s="175"/>
      <c r="EA260" s="175"/>
      <c r="EB260" s="175"/>
      <c r="EC260" s="175"/>
      <c r="ED260" s="175"/>
      <c r="EE260" s="175"/>
      <c r="EF260" s="175"/>
      <c r="EG260" s="175"/>
      <c r="EH260" s="175"/>
      <c r="EI260" s="175"/>
      <c r="EJ260" s="175"/>
      <c r="EK260" s="175"/>
      <c r="EL260" s="175"/>
      <c r="EM260" s="175"/>
      <c r="EN260" s="175"/>
      <c r="EO260" s="175"/>
      <c r="EP260" s="175"/>
      <c r="EQ260" s="175"/>
      <c r="ER260" s="175"/>
      <c r="ES260" s="175"/>
      <c r="ET260" s="175"/>
      <c r="EU260" s="175"/>
      <c r="EV260" s="175"/>
      <c r="EW260" s="175"/>
      <c r="EX260" s="175"/>
      <c r="EY260" s="175"/>
      <c r="EZ260" s="175"/>
      <c r="FA260" s="175"/>
      <c r="FB260" s="175"/>
      <c r="FC260" s="175"/>
      <c r="FD260" s="175"/>
      <c r="FE260" s="175"/>
      <c r="FF260" s="175"/>
      <c r="FG260" s="175"/>
      <c r="FH260" s="175"/>
      <c r="FI260" s="175"/>
      <c r="FJ260" s="175"/>
      <c r="FK260" s="175"/>
      <c r="FL260" s="175"/>
      <c r="FM260" s="175"/>
      <c r="FN260" s="175"/>
      <c r="FO260" s="175"/>
      <c r="FP260" s="175"/>
      <c r="FQ260" s="175"/>
      <c r="FR260" s="175"/>
      <c r="FS260" s="175"/>
      <c r="FT260" s="175"/>
      <c r="FU260" s="175"/>
      <c r="FV260" s="175"/>
      <c r="FW260" s="175"/>
      <c r="FX260" s="175"/>
      <c r="FY260" s="175"/>
      <c r="FZ260" s="175"/>
      <c r="GA260" s="175"/>
      <c r="GB260" s="175"/>
      <c r="GC260" s="175"/>
      <c r="GD260" s="175"/>
      <c r="GE260" s="175"/>
      <c r="GF260" s="175"/>
      <c r="GG260" s="175"/>
      <c r="GH260" s="175"/>
      <c r="GI260" s="175"/>
      <c r="GJ260" s="175"/>
      <c r="GK260" s="175"/>
      <c r="GL260" s="175"/>
      <c r="GM260" s="175"/>
      <c r="GN260" s="175"/>
      <c r="GO260" s="175"/>
      <c r="GP260" s="175"/>
      <c r="GQ260" s="175"/>
      <c r="GR260" s="175"/>
      <c r="GS260" s="175"/>
      <c r="GT260" s="175"/>
      <c r="GU260" s="175"/>
      <c r="GV260" s="175"/>
      <c r="GW260" s="175"/>
      <c r="GX260" s="175"/>
      <c r="GY260" s="175"/>
      <c r="GZ260" s="175"/>
      <c r="HA260" s="175"/>
      <c r="HB260" s="175"/>
      <c r="HC260" s="175"/>
      <c r="HD260" s="175"/>
      <c r="HE260" s="175"/>
      <c r="HF260" s="175"/>
      <c r="HG260" s="175"/>
      <c r="HH260" s="175"/>
      <c r="HI260" s="175"/>
      <c r="HJ260" s="175"/>
      <c r="HK260" s="175"/>
      <c r="HL260" s="175"/>
      <c r="HM260" s="175"/>
      <c r="HN260" s="175"/>
      <c r="HO260" s="175"/>
      <c r="HP260" s="175"/>
      <c r="HQ260" s="175"/>
      <c r="HR260" s="175"/>
      <c r="HS260" s="175"/>
      <c r="HT260" s="175"/>
      <c r="HU260" s="175"/>
      <c r="HV260" s="175"/>
      <c r="HW260" s="175"/>
      <c r="HX260" s="175"/>
      <c r="HY260" s="175"/>
      <c r="HZ260" s="175"/>
      <c r="IA260" s="175"/>
      <c r="IB260" s="175"/>
      <c r="IC260" s="175"/>
      <c r="ID260" s="175"/>
      <c r="IE260" s="175"/>
      <c r="IF260" s="175"/>
      <c r="IG260" s="175"/>
      <c r="IH260" s="175"/>
      <c r="II260" s="175"/>
      <c r="IJ260" s="175"/>
      <c r="IK260" s="175"/>
      <c r="IL260" s="175"/>
      <c r="IM260" s="175"/>
      <c r="IN260" s="175"/>
      <c r="IO260" s="175"/>
      <c r="IP260" s="175"/>
      <c r="IQ260" s="175"/>
      <c r="IR260" s="175"/>
      <c r="IS260" s="175"/>
      <c r="IT260" s="175"/>
      <c r="IU260" s="175"/>
      <c r="IV260" s="175"/>
      <c r="IW260" s="175"/>
      <c r="IX260" s="175"/>
      <c r="IY260" s="175"/>
      <c r="IZ260" s="175"/>
      <c r="JA260" s="175"/>
      <c r="JB260" s="175"/>
      <c r="JC260" s="175"/>
      <c r="JD260" s="175"/>
      <c r="JE260" s="175"/>
      <c r="JF260" s="175"/>
      <c r="JG260" s="175"/>
      <c r="JH260" s="175"/>
      <c r="JI260" s="175"/>
      <c r="JJ260" s="175"/>
      <c r="JK260" s="175"/>
      <c r="JL260" s="175"/>
      <c r="JM260" s="175"/>
      <c r="JN260" s="175"/>
      <c r="JO260" s="175"/>
      <c r="JP260" s="175"/>
      <c r="JQ260" s="175"/>
      <c r="JR260" s="175"/>
      <c r="JS260" s="175"/>
      <c r="JT260" s="175"/>
      <c r="JU260" s="175"/>
      <c r="JV260" s="175"/>
      <c r="JW260" s="175"/>
      <c r="JX260" s="175"/>
      <c r="JY260" s="175"/>
      <c r="JZ260" s="175"/>
      <c r="KA260" s="175"/>
      <c r="KB260" s="175"/>
      <c r="KC260" s="175"/>
      <c r="KD260" s="175"/>
      <c r="KE260" s="175"/>
      <c r="KF260" s="175"/>
      <c r="KG260" s="175"/>
      <c r="KH260" s="175"/>
      <c r="KI260" s="175"/>
      <c r="KJ260" s="175"/>
      <c r="KK260" s="175"/>
      <c r="KL260" s="175"/>
      <c r="KM260" s="175"/>
      <c r="KN260" s="175"/>
      <c r="KO260" s="175"/>
      <c r="KP260" s="175"/>
      <c r="KQ260" s="175"/>
      <c r="KR260" s="175"/>
      <c r="KS260" s="175"/>
      <c r="KT260" s="175"/>
      <c r="KU260" s="175"/>
    </row>
    <row r="261" spans="1:307" x14ac:dyDescent="0.2">
      <c r="A261" s="172"/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  <c r="BE261" s="172"/>
      <c r="BF261" s="172"/>
      <c r="BG261" s="172"/>
      <c r="BH261" s="172"/>
      <c r="BI261" s="172"/>
      <c r="BJ261" s="172"/>
      <c r="BK261" s="172"/>
      <c r="BL261" s="172"/>
      <c r="BM261" s="172"/>
      <c r="BN261" s="172"/>
      <c r="BO261" s="172"/>
      <c r="BP261" s="172"/>
      <c r="BQ261" s="172"/>
      <c r="BR261" s="172"/>
      <c r="BS261" s="172"/>
      <c r="BT261" s="172"/>
      <c r="BU261" s="172"/>
      <c r="BV261" s="172"/>
      <c r="BW261" s="172"/>
      <c r="BX261" s="175"/>
      <c r="BY261" s="175"/>
      <c r="BZ261" s="175"/>
      <c r="CA261" s="175"/>
      <c r="CB261" s="175"/>
      <c r="CC261" s="175"/>
      <c r="CD261" s="175"/>
      <c r="CE261" s="175"/>
      <c r="CF261" s="175"/>
      <c r="CG261" s="175"/>
      <c r="CH261" s="175"/>
      <c r="CI261" s="175"/>
      <c r="CJ261" s="175"/>
      <c r="CK261" s="175"/>
      <c r="CL261" s="175"/>
      <c r="CM261" s="175"/>
      <c r="CN261" s="175"/>
      <c r="CO261" s="175"/>
      <c r="CP261" s="175"/>
      <c r="CQ261" s="175"/>
      <c r="CR261" s="175"/>
      <c r="CS261" s="175"/>
      <c r="CT261" s="175"/>
      <c r="CU261" s="175"/>
      <c r="CV261" s="175"/>
      <c r="CW261" s="175"/>
      <c r="CX261" s="175"/>
      <c r="CY261" s="175"/>
      <c r="CZ261" s="175"/>
      <c r="DA261" s="175"/>
      <c r="DB261" s="175"/>
      <c r="DC261" s="175"/>
      <c r="DD261" s="175"/>
      <c r="DE261" s="175"/>
      <c r="DF261" s="175"/>
      <c r="DG261" s="175"/>
      <c r="DH261" s="175"/>
      <c r="DI261" s="175"/>
      <c r="DJ261" s="175"/>
      <c r="DK261" s="175"/>
      <c r="DL261" s="175"/>
      <c r="DM261" s="175"/>
      <c r="DN261" s="175"/>
      <c r="DO261" s="175"/>
      <c r="DP261" s="175"/>
      <c r="DQ261" s="175"/>
      <c r="DR261" s="175"/>
      <c r="DS261" s="175"/>
      <c r="DT261" s="175"/>
      <c r="DU261" s="175"/>
      <c r="DV261" s="175"/>
      <c r="DW261" s="175"/>
      <c r="DX261" s="175"/>
      <c r="DY261" s="175"/>
      <c r="DZ261" s="175"/>
      <c r="EA261" s="175"/>
      <c r="EB261" s="175"/>
      <c r="EC261" s="175"/>
      <c r="ED261" s="175"/>
      <c r="EE261" s="175"/>
      <c r="EF261" s="175"/>
      <c r="EG261" s="175"/>
      <c r="EH261" s="175"/>
      <c r="EI261" s="175"/>
      <c r="EJ261" s="175"/>
      <c r="EK261" s="175"/>
      <c r="EL261" s="175"/>
      <c r="EM261" s="175"/>
      <c r="EN261" s="175"/>
      <c r="EO261" s="175"/>
      <c r="EP261" s="175"/>
      <c r="EQ261" s="175"/>
      <c r="ER261" s="175"/>
      <c r="ES261" s="175"/>
      <c r="ET261" s="175"/>
      <c r="EU261" s="175"/>
      <c r="EV261" s="175"/>
      <c r="EW261" s="175"/>
      <c r="EX261" s="175"/>
      <c r="EY261" s="175"/>
      <c r="EZ261" s="175"/>
      <c r="FA261" s="175"/>
      <c r="FB261" s="175"/>
      <c r="FC261" s="175"/>
      <c r="FD261" s="175"/>
      <c r="FE261" s="175"/>
      <c r="FF261" s="175"/>
      <c r="FG261" s="175"/>
      <c r="FH261" s="175"/>
      <c r="FI261" s="175"/>
      <c r="FJ261" s="175"/>
      <c r="FK261" s="175"/>
      <c r="FL261" s="175"/>
      <c r="FM261" s="175"/>
      <c r="FN261" s="175"/>
      <c r="FO261" s="175"/>
      <c r="FP261" s="175"/>
      <c r="FQ261" s="175"/>
      <c r="FR261" s="175"/>
      <c r="FS261" s="175"/>
      <c r="FT261" s="175"/>
      <c r="FU261" s="175"/>
      <c r="FV261" s="175"/>
      <c r="FW261" s="175"/>
      <c r="FX261" s="175"/>
      <c r="FY261" s="175"/>
      <c r="FZ261" s="175"/>
      <c r="GA261" s="175"/>
      <c r="GB261" s="175"/>
      <c r="GC261" s="175"/>
      <c r="GD261" s="175"/>
      <c r="GE261" s="175"/>
      <c r="GF261" s="175"/>
      <c r="GG261" s="175"/>
      <c r="GH261" s="175"/>
      <c r="GI261" s="175"/>
      <c r="GJ261" s="175"/>
      <c r="GK261" s="175"/>
      <c r="GL261" s="175"/>
      <c r="GM261" s="175"/>
      <c r="GN261" s="175"/>
      <c r="GO261" s="175"/>
      <c r="GP261" s="175"/>
      <c r="GQ261" s="175"/>
      <c r="GR261" s="175"/>
      <c r="GS261" s="175"/>
      <c r="GT261" s="175"/>
      <c r="GU261" s="175"/>
      <c r="GV261" s="175"/>
      <c r="GW261" s="175"/>
      <c r="GX261" s="175"/>
      <c r="GY261" s="175"/>
      <c r="GZ261" s="175"/>
      <c r="HA261" s="175"/>
      <c r="HB261" s="175"/>
      <c r="HC261" s="175"/>
      <c r="HD261" s="175"/>
      <c r="HE261" s="175"/>
      <c r="HF261" s="175"/>
      <c r="HG261" s="175"/>
      <c r="HH261" s="175"/>
      <c r="HI261" s="175"/>
      <c r="HJ261" s="175"/>
      <c r="HK261" s="175"/>
      <c r="HL261" s="175"/>
      <c r="HM261" s="175"/>
      <c r="HN261" s="175"/>
      <c r="HO261" s="175"/>
      <c r="HP261" s="175"/>
      <c r="HQ261" s="175"/>
      <c r="HR261" s="175"/>
      <c r="HS261" s="175"/>
      <c r="HT261" s="175"/>
      <c r="HU261" s="175"/>
      <c r="HV261" s="175"/>
      <c r="HW261" s="175"/>
      <c r="HX261" s="175"/>
      <c r="HY261" s="175"/>
      <c r="HZ261" s="175"/>
      <c r="IA261" s="175"/>
      <c r="IB261" s="175"/>
      <c r="IC261" s="175"/>
      <c r="ID261" s="175"/>
      <c r="IE261" s="175"/>
      <c r="IF261" s="175"/>
      <c r="IG261" s="175"/>
      <c r="IH261" s="175"/>
      <c r="II261" s="175"/>
      <c r="IJ261" s="175"/>
      <c r="IK261" s="175"/>
      <c r="IL261" s="175"/>
      <c r="IM261" s="175"/>
      <c r="IN261" s="175"/>
      <c r="IO261" s="175"/>
      <c r="IP261" s="175"/>
      <c r="IQ261" s="175"/>
      <c r="IR261" s="175"/>
      <c r="IS261" s="175"/>
      <c r="IT261" s="175"/>
      <c r="IU261" s="175"/>
      <c r="IV261" s="175"/>
      <c r="IW261" s="175"/>
      <c r="IX261" s="175"/>
      <c r="IY261" s="175"/>
      <c r="IZ261" s="175"/>
      <c r="JA261" s="175"/>
      <c r="JB261" s="175"/>
      <c r="JC261" s="175"/>
      <c r="JD261" s="175"/>
      <c r="JE261" s="175"/>
      <c r="JF261" s="175"/>
      <c r="JG261" s="175"/>
      <c r="JH261" s="175"/>
      <c r="JI261" s="175"/>
      <c r="JJ261" s="175"/>
      <c r="JK261" s="175"/>
      <c r="JL261" s="175"/>
      <c r="JM261" s="175"/>
      <c r="JN261" s="175"/>
      <c r="JO261" s="175"/>
      <c r="JP261" s="175"/>
      <c r="JQ261" s="175"/>
      <c r="JR261" s="175"/>
      <c r="JS261" s="175"/>
      <c r="JT261" s="175"/>
      <c r="JU261" s="175"/>
      <c r="JV261" s="175"/>
      <c r="JW261" s="175"/>
      <c r="JX261" s="175"/>
      <c r="JY261" s="175"/>
      <c r="JZ261" s="175"/>
      <c r="KA261" s="175"/>
      <c r="KB261" s="175"/>
      <c r="KC261" s="175"/>
      <c r="KD261" s="175"/>
      <c r="KE261" s="175"/>
      <c r="KF261" s="175"/>
      <c r="KG261" s="175"/>
      <c r="KH261" s="175"/>
      <c r="KI261" s="175"/>
      <c r="KJ261" s="175"/>
      <c r="KK261" s="175"/>
      <c r="KL261" s="175"/>
      <c r="KM261" s="175"/>
      <c r="KN261" s="175"/>
      <c r="KO261" s="175"/>
      <c r="KP261" s="175"/>
      <c r="KQ261" s="175"/>
      <c r="KR261" s="175"/>
      <c r="KS261" s="175"/>
      <c r="KT261" s="175"/>
      <c r="KU261" s="175"/>
    </row>
    <row r="262" spans="1:307" x14ac:dyDescent="0.2">
      <c r="A262" s="172"/>
      <c r="B262" s="172"/>
      <c r="C262" s="172"/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  <c r="BC262" s="172"/>
      <c r="BD262" s="172"/>
      <c r="BE262" s="172"/>
      <c r="BF262" s="172"/>
      <c r="BG262" s="172"/>
      <c r="BH262" s="172"/>
      <c r="BI262" s="172"/>
      <c r="BJ262" s="172"/>
      <c r="BK262" s="172"/>
      <c r="BL262" s="172"/>
      <c r="BM262" s="172"/>
      <c r="BN262" s="172"/>
      <c r="BO262" s="172"/>
      <c r="BP262" s="172"/>
      <c r="BQ262" s="172"/>
      <c r="BR262" s="172"/>
      <c r="BS262" s="172"/>
      <c r="BT262" s="172"/>
      <c r="BU262" s="172"/>
      <c r="BV262" s="172"/>
      <c r="BW262" s="172"/>
      <c r="BX262" s="175"/>
      <c r="BY262" s="175"/>
      <c r="BZ262" s="175"/>
      <c r="CA262" s="175"/>
      <c r="CB262" s="175"/>
      <c r="CC262" s="175"/>
      <c r="CD262" s="175"/>
      <c r="CE262" s="175"/>
      <c r="CF262" s="175"/>
      <c r="CG262" s="175"/>
      <c r="CH262" s="175"/>
      <c r="CI262" s="175"/>
      <c r="CJ262" s="175"/>
      <c r="CK262" s="175"/>
      <c r="CL262" s="175"/>
      <c r="CM262" s="175"/>
      <c r="CN262" s="175"/>
      <c r="CO262" s="175"/>
      <c r="CP262" s="175"/>
      <c r="CQ262" s="175"/>
      <c r="CR262" s="175"/>
      <c r="CS262" s="175"/>
      <c r="CT262" s="175"/>
      <c r="CU262" s="175"/>
      <c r="CV262" s="175"/>
      <c r="CW262" s="175"/>
      <c r="CX262" s="175"/>
      <c r="CY262" s="175"/>
      <c r="CZ262" s="175"/>
      <c r="DA262" s="175"/>
      <c r="DB262" s="175"/>
      <c r="DC262" s="175"/>
      <c r="DD262" s="175"/>
      <c r="DE262" s="175"/>
      <c r="DF262" s="175"/>
      <c r="DG262" s="175"/>
      <c r="DH262" s="175"/>
      <c r="DI262" s="175"/>
      <c r="DJ262" s="175"/>
      <c r="DK262" s="175"/>
      <c r="DL262" s="175"/>
      <c r="DM262" s="175"/>
      <c r="DN262" s="175"/>
      <c r="DO262" s="175"/>
      <c r="DP262" s="175"/>
      <c r="DQ262" s="175"/>
      <c r="DR262" s="175"/>
      <c r="DS262" s="175"/>
      <c r="DT262" s="175"/>
      <c r="DU262" s="175"/>
      <c r="DV262" s="175"/>
      <c r="DW262" s="175"/>
      <c r="DX262" s="175"/>
      <c r="DY262" s="175"/>
      <c r="DZ262" s="175"/>
      <c r="EA262" s="175"/>
      <c r="EB262" s="175"/>
      <c r="EC262" s="175"/>
      <c r="ED262" s="175"/>
      <c r="EE262" s="175"/>
      <c r="EF262" s="175"/>
      <c r="EG262" s="175"/>
      <c r="EH262" s="175"/>
      <c r="EI262" s="175"/>
      <c r="EJ262" s="175"/>
      <c r="EK262" s="175"/>
      <c r="EL262" s="175"/>
      <c r="EM262" s="175"/>
      <c r="EN262" s="175"/>
      <c r="EO262" s="175"/>
      <c r="EP262" s="175"/>
      <c r="EQ262" s="175"/>
      <c r="ER262" s="175"/>
      <c r="ES262" s="175"/>
      <c r="ET262" s="175"/>
      <c r="EU262" s="175"/>
      <c r="EV262" s="175"/>
      <c r="EW262" s="175"/>
      <c r="EX262" s="175"/>
      <c r="EY262" s="175"/>
      <c r="EZ262" s="175"/>
      <c r="FA262" s="175"/>
      <c r="FB262" s="175"/>
      <c r="FC262" s="175"/>
      <c r="FD262" s="175"/>
      <c r="FE262" s="175"/>
      <c r="FF262" s="175"/>
      <c r="FG262" s="175"/>
      <c r="FH262" s="175"/>
      <c r="FI262" s="175"/>
      <c r="FJ262" s="175"/>
      <c r="FK262" s="175"/>
      <c r="FL262" s="175"/>
      <c r="FM262" s="175"/>
      <c r="FN262" s="175"/>
      <c r="FO262" s="175"/>
      <c r="FP262" s="175"/>
      <c r="FQ262" s="175"/>
      <c r="FR262" s="175"/>
      <c r="FS262" s="175"/>
      <c r="FT262" s="175"/>
      <c r="FU262" s="175"/>
      <c r="FV262" s="175"/>
      <c r="FW262" s="175"/>
      <c r="FX262" s="175"/>
      <c r="FY262" s="175"/>
      <c r="FZ262" s="175"/>
      <c r="GA262" s="175"/>
      <c r="GB262" s="175"/>
      <c r="GC262" s="175"/>
      <c r="GD262" s="175"/>
      <c r="GE262" s="175"/>
      <c r="GF262" s="175"/>
      <c r="GG262" s="175"/>
      <c r="GH262" s="175"/>
      <c r="GI262" s="175"/>
      <c r="GJ262" s="175"/>
      <c r="GK262" s="175"/>
      <c r="GL262" s="175"/>
      <c r="GM262" s="175"/>
      <c r="GN262" s="175"/>
      <c r="GO262" s="175"/>
      <c r="GP262" s="175"/>
      <c r="GQ262" s="175"/>
      <c r="GR262" s="175"/>
      <c r="GS262" s="175"/>
      <c r="GT262" s="175"/>
      <c r="GU262" s="175"/>
      <c r="GV262" s="175"/>
      <c r="GW262" s="175"/>
      <c r="GX262" s="175"/>
      <c r="GY262" s="175"/>
      <c r="GZ262" s="175"/>
      <c r="HA262" s="175"/>
      <c r="HB262" s="175"/>
      <c r="HC262" s="175"/>
      <c r="HD262" s="175"/>
      <c r="HE262" s="175"/>
      <c r="HF262" s="175"/>
      <c r="HG262" s="175"/>
      <c r="HH262" s="175"/>
      <c r="HI262" s="175"/>
      <c r="HJ262" s="175"/>
      <c r="HK262" s="175"/>
      <c r="HL262" s="175"/>
      <c r="HM262" s="175"/>
      <c r="HN262" s="175"/>
      <c r="HO262" s="175"/>
      <c r="HP262" s="175"/>
      <c r="HQ262" s="175"/>
      <c r="HR262" s="175"/>
      <c r="HS262" s="175"/>
      <c r="HT262" s="175"/>
      <c r="HU262" s="175"/>
      <c r="HV262" s="175"/>
      <c r="HW262" s="175"/>
      <c r="HX262" s="175"/>
      <c r="HY262" s="175"/>
      <c r="HZ262" s="175"/>
      <c r="IA262" s="175"/>
      <c r="IB262" s="175"/>
      <c r="IC262" s="175"/>
      <c r="ID262" s="175"/>
      <c r="IE262" s="175"/>
      <c r="IF262" s="175"/>
      <c r="IG262" s="175"/>
      <c r="IH262" s="175"/>
      <c r="II262" s="175"/>
      <c r="IJ262" s="175"/>
      <c r="IK262" s="175"/>
      <c r="IL262" s="175"/>
      <c r="IM262" s="175"/>
      <c r="IN262" s="175"/>
      <c r="IO262" s="175"/>
      <c r="IP262" s="175"/>
      <c r="IQ262" s="175"/>
      <c r="IR262" s="175"/>
      <c r="IS262" s="175"/>
      <c r="IT262" s="175"/>
      <c r="IU262" s="175"/>
      <c r="IV262" s="175"/>
      <c r="IW262" s="175"/>
      <c r="IX262" s="175"/>
      <c r="IY262" s="175"/>
      <c r="IZ262" s="175"/>
      <c r="JA262" s="175"/>
      <c r="JB262" s="175"/>
      <c r="JC262" s="175"/>
      <c r="JD262" s="175"/>
      <c r="JE262" s="175"/>
      <c r="JF262" s="175"/>
      <c r="JG262" s="175"/>
      <c r="JH262" s="175"/>
      <c r="JI262" s="175"/>
      <c r="JJ262" s="175"/>
      <c r="JK262" s="175"/>
      <c r="JL262" s="175"/>
      <c r="JM262" s="175"/>
      <c r="JN262" s="175"/>
      <c r="JO262" s="175"/>
      <c r="JP262" s="175"/>
      <c r="JQ262" s="175"/>
      <c r="JR262" s="175"/>
      <c r="JS262" s="175"/>
      <c r="JT262" s="175"/>
      <c r="JU262" s="175"/>
      <c r="JV262" s="175"/>
      <c r="JW262" s="175"/>
      <c r="JX262" s="175"/>
      <c r="JY262" s="175"/>
      <c r="JZ262" s="175"/>
      <c r="KA262" s="175"/>
      <c r="KB262" s="175"/>
      <c r="KC262" s="175"/>
      <c r="KD262" s="175"/>
      <c r="KE262" s="175"/>
      <c r="KF262" s="175"/>
      <c r="KG262" s="175"/>
      <c r="KH262" s="175"/>
      <c r="KI262" s="175"/>
      <c r="KJ262" s="175"/>
      <c r="KK262" s="175"/>
      <c r="KL262" s="175"/>
      <c r="KM262" s="175"/>
      <c r="KN262" s="175"/>
      <c r="KO262" s="175"/>
      <c r="KP262" s="175"/>
      <c r="KQ262" s="175"/>
      <c r="KR262" s="175"/>
      <c r="KS262" s="175"/>
      <c r="KT262" s="175"/>
      <c r="KU262" s="175"/>
    </row>
    <row r="263" spans="1:307" x14ac:dyDescent="0.2">
      <c r="A263" s="172"/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  <c r="BC263" s="172"/>
      <c r="BD263" s="172"/>
      <c r="BE263" s="172"/>
      <c r="BF263" s="172"/>
      <c r="BG263" s="172"/>
      <c r="BH263" s="172"/>
      <c r="BI263" s="172"/>
      <c r="BJ263" s="172"/>
      <c r="BK263" s="172"/>
      <c r="BL263" s="172"/>
      <c r="BM263" s="172"/>
      <c r="BN263" s="172"/>
      <c r="BO263" s="172"/>
      <c r="BP263" s="172"/>
      <c r="BQ263" s="172"/>
      <c r="BR263" s="172"/>
      <c r="BS263" s="172"/>
      <c r="BT263" s="172"/>
      <c r="BU263" s="172"/>
      <c r="BV263" s="172"/>
      <c r="BW263" s="172"/>
      <c r="BX263" s="175"/>
      <c r="BY263" s="175"/>
      <c r="BZ263" s="175"/>
      <c r="CA263" s="175"/>
      <c r="CB263" s="175"/>
      <c r="CC263" s="175"/>
      <c r="CD263" s="175"/>
      <c r="CE263" s="175"/>
      <c r="CF263" s="175"/>
      <c r="CG263" s="175"/>
      <c r="CH263" s="175"/>
      <c r="CI263" s="175"/>
      <c r="CJ263" s="175"/>
      <c r="CK263" s="175"/>
      <c r="CL263" s="175"/>
      <c r="CM263" s="175"/>
      <c r="CN263" s="175"/>
      <c r="CO263" s="175"/>
      <c r="CP263" s="175"/>
      <c r="CQ263" s="175"/>
      <c r="CR263" s="175"/>
      <c r="CS263" s="175"/>
      <c r="CT263" s="175"/>
      <c r="CU263" s="175"/>
      <c r="CV263" s="175"/>
      <c r="CW263" s="175"/>
      <c r="CX263" s="175"/>
      <c r="CY263" s="175"/>
      <c r="CZ263" s="175"/>
      <c r="DA263" s="175"/>
      <c r="DB263" s="175"/>
      <c r="DC263" s="175"/>
      <c r="DD263" s="175"/>
      <c r="DE263" s="175"/>
      <c r="DF263" s="175"/>
      <c r="DG263" s="175"/>
      <c r="DH263" s="175"/>
      <c r="DI263" s="175"/>
      <c r="DJ263" s="175"/>
      <c r="DK263" s="175"/>
      <c r="DL263" s="175"/>
      <c r="DM263" s="175"/>
      <c r="DN263" s="175"/>
      <c r="DO263" s="175"/>
      <c r="DP263" s="175"/>
      <c r="DQ263" s="175"/>
      <c r="DR263" s="175"/>
      <c r="DS263" s="175"/>
      <c r="DT263" s="175"/>
      <c r="DU263" s="175"/>
      <c r="DV263" s="175"/>
      <c r="DW263" s="175"/>
      <c r="DX263" s="175"/>
      <c r="DY263" s="175"/>
      <c r="DZ263" s="175"/>
      <c r="EA263" s="175"/>
      <c r="EB263" s="175"/>
      <c r="EC263" s="175"/>
      <c r="ED263" s="175"/>
      <c r="EE263" s="175"/>
      <c r="EF263" s="175"/>
      <c r="EG263" s="175"/>
      <c r="EH263" s="175"/>
      <c r="EI263" s="175"/>
      <c r="EJ263" s="175"/>
      <c r="EK263" s="175"/>
      <c r="EL263" s="175"/>
      <c r="EM263" s="175"/>
      <c r="EN263" s="175"/>
      <c r="EO263" s="175"/>
      <c r="EP263" s="175"/>
      <c r="EQ263" s="175"/>
      <c r="ER263" s="175"/>
      <c r="ES263" s="175"/>
      <c r="ET263" s="175"/>
      <c r="EU263" s="175"/>
      <c r="EV263" s="175"/>
      <c r="EW263" s="175"/>
      <c r="EX263" s="175"/>
      <c r="EY263" s="175"/>
      <c r="EZ263" s="175"/>
      <c r="FA263" s="175"/>
      <c r="FB263" s="175"/>
      <c r="FC263" s="175"/>
      <c r="FD263" s="175"/>
      <c r="FE263" s="175"/>
      <c r="FF263" s="175"/>
      <c r="FG263" s="175"/>
      <c r="FH263" s="175"/>
      <c r="FI263" s="175"/>
      <c r="FJ263" s="175"/>
      <c r="FK263" s="175"/>
      <c r="FL263" s="175"/>
      <c r="FM263" s="175"/>
      <c r="FN263" s="175"/>
      <c r="FO263" s="175"/>
      <c r="FP263" s="175"/>
      <c r="FQ263" s="175"/>
      <c r="FR263" s="175"/>
      <c r="FS263" s="175"/>
      <c r="FT263" s="175"/>
      <c r="FU263" s="175"/>
      <c r="FV263" s="175"/>
      <c r="FW263" s="175"/>
      <c r="FX263" s="175"/>
      <c r="FY263" s="175"/>
      <c r="FZ263" s="175"/>
      <c r="GA263" s="175"/>
      <c r="GB263" s="175"/>
      <c r="GC263" s="175"/>
      <c r="GD263" s="175"/>
      <c r="GE263" s="175"/>
      <c r="GF263" s="175"/>
      <c r="GG263" s="175"/>
      <c r="GH263" s="175"/>
      <c r="GI263" s="175"/>
      <c r="GJ263" s="175"/>
      <c r="GK263" s="175"/>
      <c r="GL263" s="175"/>
      <c r="GM263" s="175"/>
      <c r="GN263" s="175"/>
      <c r="GO263" s="175"/>
      <c r="GP263" s="175"/>
      <c r="GQ263" s="175"/>
      <c r="GR263" s="175"/>
      <c r="GS263" s="175"/>
      <c r="GT263" s="175"/>
      <c r="GU263" s="175"/>
      <c r="GV263" s="175"/>
      <c r="GW263" s="175"/>
      <c r="GX263" s="175"/>
      <c r="GY263" s="175"/>
      <c r="GZ263" s="175"/>
      <c r="HA263" s="175"/>
      <c r="HB263" s="175"/>
      <c r="HC263" s="175"/>
      <c r="HD263" s="175"/>
      <c r="HE263" s="175"/>
      <c r="HF263" s="175"/>
      <c r="HG263" s="175"/>
      <c r="HH263" s="175"/>
      <c r="HI263" s="175"/>
      <c r="HJ263" s="175"/>
      <c r="HK263" s="175"/>
      <c r="HL263" s="175"/>
      <c r="HM263" s="175"/>
      <c r="HN263" s="175"/>
      <c r="HO263" s="175"/>
      <c r="HP263" s="175"/>
      <c r="HQ263" s="175"/>
      <c r="HR263" s="175"/>
      <c r="HS263" s="175"/>
      <c r="HT263" s="175"/>
      <c r="HU263" s="175"/>
      <c r="HV263" s="175"/>
      <c r="HW263" s="175"/>
      <c r="HX263" s="175"/>
      <c r="HY263" s="175"/>
      <c r="HZ263" s="175"/>
      <c r="IA263" s="175"/>
      <c r="IB263" s="175"/>
      <c r="IC263" s="175"/>
      <c r="ID263" s="175"/>
      <c r="IE263" s="175"/>
      <c r="IF263" s="175"/>
      <c r="IG263" s="175"/>
      <c r="IH263" s="175"/>
      <c r="II263" s="175"/>
      <c r="IJ263" s="175"/>
      <c r="IK263" s="175"/>
      <c r="IL263" s="175"/>
      <c r="IM263" s="175"/>
      <c r="IN263" s="175"/>
      <c r="IO263" s="175"/>
      <c r="IP263" s="175"/>
      <c r="IQ263" s="175"/>
      <c r="IR263" s="175"/>
      <c r="IS263" s="175"/>
      <c r="IT263" s="175"/>
      <c r="IU263" s="175"/>
      <c r="IV263" s="175"/>
      <c r="IW263" s="175"/>
      <c r="IX263" s="175"/>
      <c r="IY263" s="175"/>
      <c r="IZ263" s="175"/>
      <c r="JA263" s="175"/>
      <c r="JB263" s="175"/>
      <c r="JC263" s="175"/>
      <c r="JD263" s="175"/>
      <c r="JE263" s="175"/>
      <c r="JF263" s="175"/>
      <c r="JG263" s="175"/>
      <c r="JH263" s="175"/>
      <c r="JI263" s="175"/>
      <c r="JJ263" s="175"/>
      <c r="JK263" s="175"/>
      <c r="JL263" s="175"/>
      <c r="JM263" s="175"/>
      <c r="JN263" s="175"/>
      <c r="JO263" s="175"/>
      <c r="JP263" s="175"/>
      <c r="JQ263" s="175"/>
      <c r="JR263" s="175"/>
      <c r="JS263" s="175"/>
      <c r="JT263" s="175"/>
      <c r="JU263" s="175"/>
      <c r="JV263" s="175"/>
      <c r="JW263" s="175"/>
      <c r="JX263" s="175"/>
      <c r="JY263" s="175"/>
      <c r="JZ263" s="175"/>
      <c r="KA263" s="175"/>
      <c r="KB263" s="175"/>
      <c r="KC263" s="175"/>
      <c r="KD263" s="175"/>
      <c r="KE263" s="175"/>
      <c r="KF263" s="175"/>
      <c r="KG263" s="175"/>
      <c r="KH263" s="175"/>
      <c r="KI263" s="175"/>
      <c r="KJ263" s="175"/>
      <c r="KK263" s="175"/>
      <c r="KL263" s="175"/>
      <c r="KM263" s="175"/>
      <c r="KN263" s="175"/>
      <c r="KO263" s="175"/>
      <c r="KP263" s="175"/>
      <c r="KQ263" s="175"/>
      <c r="KR263" s="175"/>
      <c r="KS263" s="175"/>
      <c r="KT263" s="175"/>
      <c r="KU263" s="175"/>
    </row>
    <row r="264" spans="1:307" x14ac:dyDescent="0.2">
      <c r="A264" s="172"/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  <c r="BC264" s="172"/>
      <c r="BD264" s="172"/>
      <c r="BE264" s="172"/>
      <c r="BF264" s="172"/>
      <c r="BG264" s="172"/>
      <c r="BH264" s="172"/>
      <c r="BI264" s="172"/>
      <c r="BJ264" s="172"/>
      <c r="BK264" s="172"/>
      <c r="BL264" s="172"/>
      <c r="BM264" s="172"/>
      <c r="BN264" s="172"/>
      <c r="BO264" s="172"/>
      <c r="BP264" s="172"/>
      <c r="BQ264" s="172"/>
      <c r="BR264" s="172"/>
      <c r="BS264" s="172"/>
      <c r="BT264" s="172"/>
      <c r="BU264" s="172"/>
      <c r="BV264" s="172"/>
      <c r="BW264" s="172"/>
      <c r="BX264" s="175"/>
      <c r="BY264" s="175"/>
      <c r="BZ264" s="175"/>
      <c r="CA264" s="175"/>
      <c r="CB264" s="175"/>
      <c r="CC264" s="175"/>
      <c r="CD264" s="175"/>
      <c r="CE264" s="175"/>
      <c r="CF264" s="175"/>
      <c r="CG264" s="175"/>
      <c r="CH264" s="175"/>
      <c r="CI264" s="175"/>
      <c r="CJ264" s="175"/>
      <c r="CK264" s="175"/>
      <c r="CL264" s="175"/>
      <c r="CM264" s="175"/>
      <c r="CN264" s="175"/>
      <c r="CO264" s="175"/>
      <c r="CP264" s="175"/>
      <c r="CQ264" s="175"/>
      <c r="CR264" s="175"/>
      <c r="CS264" s="175"/>
      <c r="CT264" s="175"/>
      <c r="CU264" s="175"/>
      <c r="CV264" s="175"/>
      <c r="CW264" s="175"/>
      <c r="CX264" s="175"/>
      <c r="CY264" s="175"/>
      <c r="CZ264" s="175"/>
      <c r="DA264" s="175"/>
      <c r="DB264" s="175"/>
      <c r="DC264" s="175"/>
      <c r="DD264" s="175"/>
      <c r="DE264" s="175"/>
      <c r="DF264" s="175"/>
      <c r="DG264" s="175"/>
      <c r="DH264" s="175"/>
      <c r="DI264" s="175"/>
      <c r="DJ264" s="175"/>
      <c r="DK264" s="175"/>
      <c r="DL264" s="175"/>
      <c r="DM264" s="175"/>
      <c r="DN264" s="175"/>
      <c r="DO264" s="175"/>
      <c r="DP264" s="175"/>
      <c r="DQ264" s="175"/>
      <c r="DR264" s="175"/>
      <c r="DS264" s="175"/>
      <c r="DT264" s="175"/>
      <c r="DU264" s="175"/>
      <c r="DV264" s="175"/>
      <c r="DW264" s="175"/>
      <c r="DX264" s="175"/>
      <c r="DY264" s="175"/>
      <c r="DZ264" s="175"/>
      <c r="EA264" s="175"/>
      <c r="EB264" s="175"/>
      <c r="EC264" s="175"/>
      <c r="ED264" s="175"/>
      <c r="EE264" s="175"/>
      <c r="EF264" s="175"/>
      <c r="EG264" s="175"/>
      <c r="EH264" s="175"/>
      <c r="EI264" s="175"/>
      <c r="EJ264" s="175"/>
      <c r="EK264" s="175"/>
      <c r="EL264" s="175"/>
      <c r="EM264" s="175"/>
      <c r="EN264" s="175"/>
      <c r="EO264" s="175"/>
      <c r="EP264" s="175"/>
      <c r="EQ264" s="175"/>
      <c r="ER264" s="175"/>
      <c r="ES264" s="175"/>
      <c r="ET264" s="175"/>
      <c r="EU264" s="175"/>
      <c r="EV264" s="175"/>
      <c r="EW264" s="175"/>
      <c r="EX264" s="175"/>
      <c r="EY264" s="175"/>
      <c r="EZ264" s="175"/>
      <c r="FA264" s="175"/>
      <c r="FB264" s="175"/>
      <c r="FC264" s="175"/>
      <c r="FD264" s="175"/>
      <c r="FE264" s="175"/>
      <c r="FF264" s="175"/>
      <c r="FG264" s="175"/>
      <c r="FH264" s="175"/>
      <c r="FI264" s="175"/>
      <c r="FJ264" s="175"/>
      <c r="FK264" s="175"/>
      <c r="FL264" s="175"/>
      <c r="FM264" s="175"/>
      <c r="FN264" s="175"/>
      <c r="FO264" s="175"/>
      <c r="FP264" s="175"/>
      <c r="FQ264" s="175"/>
      <c r="FR264" s="175"/>
      <c r="FS264" s="175"/>
      <c r="FT264" s="175"/>
      <c r="FU264" s="175"/>
      <c r="FV264" s="175"/>
      <c r="FW264" s="175"/>
      <c r="FX264" s="175"/>
      <c r="FY264" s="175"/>
      <c r="FZ264" s="175"/>
      <c r="GA264" s="175"/>
      <c r="GB264" s="175"/>
      <c r="GC264" s="175"/>
      <c r="GD264" s="175"/>
      <c r="GE264" s="175"/>
      <c r="GF264" s="175"/>
      <c r="GG264" s="175"/>
      <c r="GH264" s="175"/>
      <c r="GI264" s="175"/>
      <c r="GJ264" s="175"/>
      <c r="GK264" s="175"/>
      <c r="GL264" s="175"/>
      <c r="GM264" s="175"/>
      <c r="GN264" s="175"/>
      <c r="GO264" s="175"/>
      <c r="GP264" s="175"/>
      <c r="GQ264" s="175"/>
      <c r="GR264" s="175"/>
      <c r="GS264" s="175"/>
      <c r="GT264" s="175"/>
      <c r="GU264" s="175"/>
      <c r="GV264" s="175"/>
      <c r="GW264" s="175"/>
      <c r="GX264" s="175"/>
      <c r="GY264" s="175"/>
      <c r="GZ264" s="175"/>
      <c r="HA264" s="175"/>
      <c r="HB264" s="175"/>
      <c r="HC264" s="175"/>
      <c r="HD264" s="175"/>
      <c r="HE264" s="175"/>
      <c r="HF264" s="175"/>
      <c r="HG264" s="175"/>
      <c r="HH264" s="175"/>
      <c r="HI264" s="175"/>
      <c r="HJ264" s="175"/>
      <c r="HK264" s="175"/>
      <c r="HL264" s="175"/>
      <c r="HM264" s="175"/>
      <c r="HN264" s="175"/>
      <c r="HO264" s="175"/>
      <c r="HP264" s="175"/>
      <c r="HQ264" s="175"/>
      <c r="HR264" s="175"/>
      <c r="HS264" s="175"/>
      <c r="HT264" s="175"/>
      <c r="HU264" s="175"/>
      <c r="HV264" s="175"/>
      <c r="HW264" s="175"/>
      <c r="HX264" s="175"/>
      <c r="HY264" s="175"/>
      <c r="HZ264" s="175"/>
      <c r="IA264" s="175"/>
      <c r="IB264" s="175"/>
      <c r="IC264" s="175"/>
      <c r="ID264" s="175"/>
      <c r="IE264" s="175"/>
      <c r="IF264" s="175"/>
      <c r="IG264" s="175"/>
      <c r="IH264" s="175"/>
      <c r="II264" s="175"/>
      <c r="IJ264" s="175"/>
      <c r="IK264" s="175"/>
      <c r="IL264" s="175"/>
      <c r="IM264" s="175"/>
      <c r="IN264" s="175"/>
      <c r="IO264" s="175"/>
      <c r="IP264" s="175"/>
      <c r="IQ264" s="175"/>
      <c r="IR264" s="175"/>
      <c r="IS264" s="175"/>
      <c r="IT264" s="175"/>
      <c r="IU264" s="175"/>
      <c r="IV264" s="175"/>
      <c r="IW264" s="175"/>
      <c r="IX264" s="175"/>
      <c r="IY264" s="175"/>
      <c r="IZ264" s="175"/>
      <c r="JA264" s="175"/>
      <c r="JB264" s="175"/>
      <c r="JC264" s="175"/>
      <c r="JD264" s="175"/>
      <c r="JE264" s="175"/>
      <c r="JF264" s="175"/>
      <c r="JG264" s="175"/>
      <c r="JH264" s="175"/>
      <c r="JI264" s="175"/>
      <c r="JJ264" s="175"/>
      <c r="JK264" s="175"/>
      <c r="JL264" s="175"/>
      <c r="JM264" s="175"/>
      <c r="JN264" s="175"/>
      <c r="JO264" s="175"/>
      <c r="JP264" s="175"/>
      <c r="JQ264" s="175"/>
      <c r="JR264" s="175"/>
      <c r="JS264" s="175"/>
      <c r="JT264" s="175"/>
      <c r="JU264" s="175"/>
      <c r="JV264" s="175"/>
      <c r="JW264" s="175"/>
      <c r="JX264" s="175"/>
      <c r="JY264" s="175"/>
      <c r="JZ264" s="175"/>
      <c r="KA264" s="175"/>
      <c r="KB264" s="175"/>
      <c r="KC264" s="175"/>
      <c r="KD264" s="175"/>
      <c r="KE264" s="175"/>
      <c r="KF264" s="175"/>
      <c r="KG264" s="175"/>
      <c r="KH264" s="175"/>
      <c r="KI264" s="175"/>
      <c r="KJ264" s="175"/>
      <c r="KK264" s="175"/>
      <c r="KL264" s="175"/>
      <c r="KM264" s="175"/>
      <c r="KN264" s="175"/>
      <c r="KO264" s="175"/>
      <c r="KP264" s="175"/>
      <c r="KQ264" s="175"/>
      <c r="KR264" s="175"/>
      <c r="KS264" s="175"/>
      <c r="KT264" s="175"/>
      <c r="KU264" s="175"/>
    </row>
    <row r="265" spans="1:307" x14ac:dyDescent="0.2">
      <c r="A265" s="172"/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2"/>
      <c r="BC265" s="172"/>
      <c r="BD265" s="172"/>
      <c r="BE265" s="172"/>
      <c r="BF265" s="172"/>
      <c r="BG265" s="172"/>
      <c r="BH265" s="172"/>
      <c r="BI265" s="172"/>
      <c r="BJ265" s="172"/>
      <c r="BK265" s="172"/>
      <c r="BL265" s="172"/>
      <c r="BM265" s="172"/>
      <c r="BN265" s="172"/>
      <c r="BO265" s="172"/>
      <c r="BP265" s="172"/>
      <c r="BQ265" s="172"/>
      <c r="BR265" s="172"/>
      <c r="BS265" s="172"/>
      <c r="BT265" s="172"/>
      <c r="BU265" s="172"/>
      <c r="BV265" s="172"/>
      <c r="BW265" s="172"/>
      <c r="BX265" s="175"/>
      <c r="BY265" s="175"/>
      <c r="BZ265" s="175"/>
      <c r="CA265" s="175"/>
      <c r="CB265" s="175"/>
      <c r="CC265" s="175"/>
      <c r="CD265" s="175"/>
      <c r="CE265" s="175"/>
      <c r="CF265" s="175"/>
      <c r="CG265" s="175"/>
      <c r="CH265" s="175"/>
      <c r="CI265" s="175"/>
      <c r="CJ265" s="175"/>
      <c r="CK265" s="175"/>
      <c r="CL265" s="175"/>
      <c r="CM265" s="175"/>
      <c r="CN265" s="175"/>
      <c r="CO265" s="175"/>
      <c r="CP265" s="175"/>
      <c r="CQ265" s="175"/>
      <c r="CR265" s="175"/>
      <c r="CS265" s="175"/>
      <c r="CT265" s="175"/>
      <c r="CU265" s="175"/>
      <c r="CV265" s="175"/>
      <c r="CW265" s="175"/>
      <c r="CX265" s="175"/>
      <c r="CY265" s="175"/>
      <c r="CZ265" s="175"/>
      <c r="DA265" s="175"/>
      <c r="DB265" s="175"/>
      <c r="DC265" s="175"/>
      <c r="DD265" s="175"/>
      <c r="DE265" s="175"/>
      <c r="DF265" s="175"/>
      <c r="DG265" s="175"/>
      <c r="DH265" s="175"/>
      <c r="DI265" s="175"/>
      <c r="DJ265" s="175"/>
      <c r="DK265" s="175"/>
      <c r="DL265" s="175"/>
      <c r="DM265" s="175"/>
      <c r="DN265" s="175"/>
      <c r="DO265" s="175"/>
      <c r="DP265" s="175"/>
      <c r="DQ265" s="175"/>
      <c r="DR265" s="175"/>
      <c r="DS265" s="175"/>
      <c r="DT265" s="175"/>
      <c r="DU265" s="175"/>
      <c r="DV265" s="175"/>
      <c r="DW265" s="175"/>
      <c r="DX265" s="175"/>
      <c r="DY265" s="175"/>
      <c r="DZ265" s="175"/>
      <c r="EA265" s="175"/>
      <c r="EB265" s="175"/>
      <c r="EC265" s="175"/>
      <c r="ED265" s="175"/>
      <c r="EE265" s="175"/>
      <c r="EF265" s="175"/>
      <c r="EG265" s="175"/>
      <c r="EH265" s="175"/>
      <c r="EI265" s="175"/>
      <c r="EJ265" s="175"/>
      <c r="EK265" s="175"/>
      <c r="EL265" s="175"/>
      <c r="EM265" s="175"/>
      <c r="EN265" s="175"/>
      <c r="EO265" s="175"/>
      <c r="EP265" s="175"/>
      <c r="EQ265" s="175"/>
      <c r="ER265" s="175"/>
      <c r="ES265" s="175"/>
      <c r="ET265" s="175"/>
      <c r="EU265" s="175"/>
      <c r="EV265" s="175"/>
      <c r="EW265" s="175"/>
      <c r="EX265" s="175"/>
      <c r="EY265" s="175"/>
      <c r="EZ265" s="175"/>
      <c r="FA265" s="175"/>
      <c r="FB265" s="175"/>
      <c r="FC265" s="175"/>
      <c r="FD265" s="175"/>
      <c r="FE265" s="175"/>
      <c r="FF265" s="175"/>
      <c r="FG265" s="175"/>
      <c r="FH265" s="175"/>
      <c r="FI265" s="175"/>
      <c r="FJ265" s="175"/>
      <c r="FK265" s="175"/>
      <c r="FL265" s="175"/>
      <c r="FM265" s="175"/>
      <c r="FN265" s="175"/>
      <c r="FO265" s="175"/>
      <c r="FP265" s="175"/>
      <c r="FQ265" s="175"/>
      <c r="FR265" s="175"/>
      <c r="FS265" s="175"/>
      <c r="FT265" s="175"/>
      <c r="FU265" s="175"/>
      <c r="FV265" s="175"/>
      <c r="FW265" s="175"/>
      <c r="FX265" s="175"/>
      <c r="FY265" s="175"/>
      <c r="FZ265" s="175"/>
      <c r="GA265" s="175"/>
      <c r="GB265" s="175"/>
      <c r="GC265" s="175"/>
      <c r="GD265" s="175"/>
      <c r="GE265" s="175"/>
      <c r="GF265" s="175"/>
      <c r="GG265" s="175"/>
      <c r="GH265" s="175"/>
      <c r="GI265" s="175"/>
      <c r="GJ265" s="175"/>
      <c r="GK265" s="175"/>
      <c r="GL265" s="175"/>
      <c r="GM265" s="175"/>
      <c r="GN265" s="175"/>
      <c r="GO265" s="175"/>
      <c r="GP265" s="175"/>
      <c r="GQ265" s="175"/>
      <c r="GR265" s="175"/>
      <c r="GS265" s="175"/>
      <c r="GT265" s="175"/>
      <c r="GU265" s="175"/>
      <c r="GV265" s="175"/>
      <c r="GW265" s="175"/>
      <c r="GX265" s="175"/>
      <c r="GY265" s="175"/>
      <c r="GZ265" s="175"/>
      <c r="HA265" s="175"/>
      <c r="HB265" s="175"/>
      <c r="HC265" s="175"/>
      <c r="HD265" s="175"/>
      <c r="HE265" s="175"/>
      <c r="HF265" s="175"/>
      <c r="HG265" s="175"/>
      <c r="HH265" s="175"/>
      <c r="HI265" s="175"/>
      <c r="HJ265" s="175"/>
      <c r="HK265" s="175"/>
      <c r="HL265" s="175"/>
      <c r="HM265" s="175"/>
      <c r="HN265" s="175"/>
      <c r="HO265" s="175"/>
      <c r="HP265" s="175"/>
      <c r="HQ265" s="175"/>
      <c r="HR265" s="175"/>
      <c r="HS265" s="175"/>
      <c r="HT265" s="175"/>
      <c r="HU265" s="175"/>
      <c r="HV265" s="175"/>
      <c r="HW265" s="175"/>
      <c r="HX265" s="175"/>
      <c r="HY265" s="175"/>
      <c r="HZ265" s="175"/>
      <c r="IA265" s="175"/>
      <c r="IB265" s="175"/>
      <c r="IC265" s="175"/>
      <c r="ID265" s="175"/>
      <c r="IE265" s="175"/>
      <c r="IF265" s="175"/>
      <c r="IG265" s="175"/>
      <c r="IH265" s="175"/>
      <c r="II265" s="175"/>
      <c r="IJ265" s="175"/>
      <c r="IK265" s="175"/>
      <c r="IL265" s="175"/>
      <c r="IM265" s="175"/>
      <c r="IN265" s="175"/>
      <c r="IO265" s="175"/>
      <c r="IP265" s="175"/>
      <c r="IQ265" s="175"/>
      <c r="IR265" s="175"/>
      <c r="IS265" s="175"/>
      <c r="IT265" s="175"/>
      <c r="IU265" s="175"/>
      <c r="IV265" s="175"/>
      <c r="IW265" s="175"/>
      <c r="IX265" s="175"/>
      <c r="IY265" s="175"/>
      <c r="IZ265" s="175"/>
      <c r="JA265" s="175"/>
      <c r="JB265" s="175"/>
      <c r="JC265" s="175"/>
      <c r="JD265" s="175"/>
      <c r="JE265" s="175"/>
      <c r="JF265" s="175"/>
      <c r="JG265" s="175"/>
      <c r="JH265" s="175"/>
      <c r="JI265" s="175"/>
      <c r="JJ265" s="175"/>
      <c r="JK265" s="175"/>
      <c r="JL265" s="175"/>
      <c r="JM265" s="175"/>
      <c r="JN265" s="175"/>
      <c r="JO265" s="175"/>
      <c r="JP265" s="175"/>
      <c r="JQ265" s="175"/>
      <c r="JR265" s="175"/>
      <c r="JS265" s="175"/>
      <c r="JT265" s="175"/>
      <c r="JU265" s="175"/>
      <c r="JV265" s="175"/>
      <c r="JW265" s="175"/>
      <c r="JX265" s="175"/>
      <c r="JY265" s="175"/>
      <c r="JZ265" s="175"/>
      <c r="KA265" s="175"/>
      <c r="KB265" s="175"/>
      <c r="KC265" s="175"/>
      <c r="KD265" s="175"/>
      <c r="KE265" s="175"/>
      <c r="KF265" s="175"/>
      <c r="KG265" s="175"/>
      <c r="KH265" s="175"/>
      <c r="KI265" s="175"/>
      <c r="KJ265" s="175"/>
      <c r="KK265" s="175"/>
      <c r="KL265" s="175"/>
      <c r="KM265" s="175"/>
      <c r="KN265" s="175"/>
      <c r="KO265" s="175"/>
      <c r="KP265" s="175"/>
      <c r="KQ265" s="175"/>
      <c r="KR265" s="175"/>
      <c r="KS265" s="175"/>
      <c r="KT265" s="175"/>
      <c r="KU265" s="175"/>
    </row>
    <row r="266" spans="1:307" x14ac:dyDescent="0.2">
      <c r="A266" s="172"/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  <c r="BE266" s="172"/>
      <c r="BF266" s="172"/>
      <c r="BG266" s="172"/>
      <c r="BH266" s="172"/>
      <c r="BI266" s="172"/>
      <c r="BJ266" s="172"/>
      <c r="BK266" s="172"/>
      <c r="BL266" s="172"/>
      <c r="BM266" s="172"/>
      <c r="BN266" s="172"/>
      <c r="BO266" s="172"/>
      <c r="BP266" s="172"/>
      <c r="BQ266" s="172"/>
      <c r="BR266" s="172"/>
      <c r="BS266" s="172"/>
      <c r="BT266" s="172"/>
      <c r="BU266" s="172"/>
      <c r="BV266" s="172"/>
      <c r="BW266" s="172"/>
      <c r="BX266" s="175"/>
      <c r="BY266" s="175"/>
      <c r="BZ266" s="175"/>
      <c r="CA266" s="175"/>
      <c r="CB266" s="175"/>
      <c r="CC266" s="175"/>
      <c r="CD266" s="175"/>
      <c r="CE266" s="175"/>
      <c r="CF266" s="175"/>
      <c r="CG266" s="175"/>
      <c r="CH266" s="175"/>
      <c r="CI266" s="175"/>
      <c r="CJ266" s="175"/>
      <c r="CK266" s="175"/>
      <c r="CL266" s="175"/>
      <c r="CM266" s="175"/>
      <c r="CN266" s="175"/>
      <c r="CO266" s="175"/>
      <c r="CP266" s="175"/>
      <c r="CQ266" s="175"/>
      <c r="CR266" s="175"/>
      <c r="CS266" s="175"/>
      <c r="CT266" s="175"/>
      <c r="CU266" s="175"/>
      <c r="CV266" s="175"/>
      <c r="CW266" s="175"/>
      <c r="CX266" s="175"/>
      <c r="CY266" s="175"/>
      <c r="CZ266" s="175"/>
      <c r="DA266" s="175"/>
      <c r="DB266" s="175"/>
      <c r="DC266" s="175"/>
      <c r="DD266" s="175"/>
      <c r="DE266" s="175"/>
      <c r="DF266" s="175"/>
      <c r="DG266" s="175"/>
      <c r="DH266" s="175"/>
      <c r="DI266" s="175"/>
      <c r="DJ266" s="175"/>
      <c r="DK266" s="175"/>
      <c r="DL266" s="175"/>
      <c r="DM266" s="175"/>
      <c r="DN266" s="175"/>
      <c r="DO266" s="175"/>
      <c r="DP266" s="175"/>
      <c r="DQ266" s="175"/>
      <c r="DR266" s="175"/>
      <c r="DS266" s="175"/>
      <c r="DT266" s="175"/>
      <c r="DU266" s="175"/>
      <c r="DV266" s="175"/>
      <c r="DW266" s="175"/>
      <c r="DX266" s="175"/>
      <c r="DY266" s="175"/>
      <c r="DZ266" s="175"/>
      <c r="EA266" s="175"/>
      <c r="EB266" s="175"/>
      <c r="EC266" s="175"/>
      <c r="ED266" s="175"/>
      <c r="EE266" s="175"/>
      <c r="EF266" s="175"/>
      <c r="EG266" s="175"/>
      <c r="EH266" s="175"/>
      <c r="EI266" s="175"/>
      <c r="EJ266" s="175"/>
      <c r="EK266" s="175"/>
      <c r="EL266" s="175"/>
      <c r="EM266" s="175"/>
      <c r="EN266" s="175"/>
      <c r="EO266" s="175"/>
      <c r="EP266" s="175"/>
      <c r="EQ266" s="175"/>
      <c r="ER266" s="175"/>
      <c r="ES266" s="175"/>
      <c r="ET266" s="175"/>
      <c r="EU266" s="175"/>
      <c r="EV266" s="175"/>
      <c r="EW266" s="175"/>
      <c r="EX266" s="175"/>
      <c r="EY266" s="175"/>
      <c r="EZ266" s="175"/>
      <c r="FA266" s="175"/>
      <c r="FB266" s="175"/>
      <c r="FC266" s="175"/>
      <c r="FD266" s="175"/>
      <c r="FE266" s="175"/>
      <c r="FF266" s="175"/>
      <c r="FG266" s="175"/>
      <c r="FH266" s="175"/>
      <c r="FI266" s="175"/>
      <c r="FJ266" s="175"/>
      <c r="FK266" s="175"/>
      <c r="FL266" s="175"/>
      <c r="FM266" s="175"/>
      <c r="FN266" s="175"/>
      <c r="FO266" s="175"/>
      <c r="FP266" s="175"/>
      <c r="FQ266" s="175"/>
      <c r="FR266" s="175"/>
      <c r="FS266" s="175"/>
      <c r="FT266" s="175"/>
      <c r="FU266" s="175"/>
      <c r="FV266" s="175"/>
      <c r="FW266" s="175"/>
      <c r="FX266" s="175"/>
      <c r="FY266" s="175"/>
      <c r="FZ266" s="175"/>
      <c r="GA266" s="175"/>
      <c r="GB266" s="175"/>
      <c r="GC266" s="175"/>
      <c r="GD266" s="175"/>
      <c r="GE266" s="175"/>
      <c r="GF266" s="175"/>
      <c r="GG266" s="175"/>
      <c r="GH266" s="175"/>
      <c r="GI266" s="175"/>
      <c r="GJ266" s="175"/>
      <c r="GK266" s="175"/>
      <c r="GL266" s="175"/>
      <c r="GM266" s="175"/>
      <c r="GN266" s="175"/>
      <c r="GO266" s="175"/>
      <c r="GP266" s="175"/>
      <c r="GQ266" s="175"/>
      <c r="GR266" s="175"/>
      <c r="GS266" s="175"/>
      <c r="GT266" s="175"/>
      <c r="GU266" s="175"/>
      <c r="GV266" s="175"/>
      <c r="GW266" s="175"/>
      <c r="GX266" s="175"/>
      <c r="GY266" s="175"/>
      <c r="GZ266" s="175"/>
      <c r="HA266" s="175"/>
      <c r="HB266" s="175"/>
      <c r="HC266" s="175"/>
      <c r="HD266" s="175"/>
      <c r="HE266" s="175"/>
      <c r="HF266" s="175"/>
      <c r="HG266" s="175"/>
      <c r="HH266" s="175"/>
      <c r="HI266" s="175"/>
      <c r="HJ266" s="175"/>
      <c r="HK266" s="175"/>
      <c r="HL266" s="175"/>
      <c r="HM266" s="175"/>
      <c r="HN266" s="175"/>
      <c r="HO266" s="175"/>
      <c r="HP266" s="175"/>
      <c r="HQ266" s="175"/>
      <c r="HR266" s="175"/>
      <c r="HS266" s="175"/>
      <c r="HT266" s="175"/>
      <c r="HU266" s="175"/>
      <c r="HV266" s="175"/>
      <c r="HW266" s="175"/>
      <c r="HX266" s="175"/>
      <c r="HY266" s="175"/>
      <c r="HZ266" s="175"/>
      <c r="IA266" s="175"/>
      <c r="IB266" s="175"/>
      <c r="IC266" s="175"/>
      <c r="ID266" s="175"/>
      <c r="IE266" s="175"/>
      <c r="IF266" s="175"/>
      <c r="IG266" s="175"/>
      <c r="IH266" s="175"/>
      <c r="II266" s="175"/>
      <c r="IJ266" s="175"/>
      <c r="IK266" s="175"/>
      <c r="IL266" s="175"/>
      <c r="IM266" s="175"/>
      <c r="IN266" s="175"/>
      <c r="IO266" s="175"/>
      <c r="IP266" s="175"/>
      <c r="IQ266" s="175"/>
      <c r="IR266" s="175"/>
      <c r="IS266" s="175"/>
      <c r="IT266" s="175"/>
      <c r="IU266" s="175"/>
      <c r="IV266" s="175"/>
      <c r="IW266" s="175"/>
      <c r="IX266" s="175"/>
      <c r="IY266" s="175"/>
      <c r="IZ266" s="175"/>
      <c r="JA266" s="175"/>
      <c r="JB266" s="175"/>
      <c r="JC266" s="175"/>
      <c r="JD266" s="175"/>
      <c r="JE266" s="175"/>
      <c r="JF266" s="175"/>
      <c r="JG266" s="175"/>
      <c r="JH266" s="175"/>
      <c r="JI266" s="175"/>
      <c r="JJ266" s="175"/>
      <c r="JK266" s="175"/>
      <c r="JL266" s="175"/>
      <c r="JM266" s="175"/>
      <c r="JN266" s="175"/>
      <c r="JO266" s="175"/>
      <c r="JP266" s="175"/>
      <c r="JQ266" s="175"/>
      <c r="JR266" s="175"/>
      <c r="JS266" s="175"/>
      <c r="JT266" s="175"/>
      <c r="JU266" s="175"/>
      <c r="JV266" s="175"/>
      <c r="JW266" s="175"/>
      <c r="JX266" s="175"/>
      <c r="JY266" s="175"/>
      <c r="JZ266" s="175"/>
      <c r="KA266" s="175"/>
      <c r="KB266" s="175"/>
      <c r="KC266" s="175"/>
      <c r="KD266" s="175"/>
      <c r="KE266" s="175"/>
      <c r="KF266" s="175"/>
      <c r="KG266" s="175"/>
      <c r="KH266" s="175"/>
      <c r="KI266" s="175"/>
      <c r="KJ266" s="175"/>
      <c r="KK266" s="175"/>
      <c r="KL266" s="175"/>
      <c r="KM266" s="175"/>
      <c r="KN266" s="175"/>
      <c r="KO266" s="175"/>
      <c r="KP266" s="175"/>
      <c r="KQ266" s="175"/>
      <c r="KR266" s="175"/>
      <c r="KS266" s="175"/>
      <c r="KT266" s="175"/>
      <c r="KU266" s="175"/>
    </row>
    <row r="267" spans="1:307" x14ac:dyDescent="0.2">
      <c r="A267" s="172"/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72"/>
      <c r="AT267" s="172"/>
      <c r="AU267" s="172"/>
      <c r="AV267" s="172"/>
      <c r="AW267" s="172"/>
      <c r="AX267" s="172"/>
      <c r="AY267" s="172"/>
      <c r="AZ267" s="172"/>
      <c r="BA267" s="172"/>
      <c r="BB267" s="172"/>
      <c r="BC267" s="172"/>
      <c r="BD267" s="172"/>
      <c r="BE267" s="172"/>
      <c r="BF267" s="172"/>
      <c r="BG267" s="172"/>
      <c r="BH267" s="172"/>
      <c r="BI267" s="172"/>
      <c r="BJ267" s="172"/>
      <c r="BK267" s="172"/>
      <c r="BL267" s="172"/>
      <c r="BM267" s="172"/>
      <c r="BN267" s="172"/>
      <c r="BO267" s="172"/>
      <c r="BP267" s="172"/>
      <c r="BQ267" s="172"/>
      <c r="BR267" s="172"/>
      <c r="BS267" s="172"/>
      <c r="BT267" s="172"/>
      <c r="BU267" s="172"/>
      <c r="BV267" s="172"/>
      <c r="BW267" s="172"/>
      <c r="BX267" s="175"/>
      <c r="BY267" s="175"/>
      <c r="BZ267" s="175"/>
      <c r="CA267" s="175"/>
      <c r="CB267" s="175"/>
      <c r="CC267" s="175"/>
      <c r="CD267" s="175"/>
      <c r="CE267" s="175"/>
      <c r="CF267" s="175"/>
      <c r="CG267" s="175"/>
      <c r="CH267" s="175"/>
      <c r="CI267" s="175"/>
      <c r="CJ267" s="175"/>
      <c r="CK267" s="175"/>
      <c r="CL267" s="175"/>
      <c r="CM267" s="175"/>
      <c r="CN267" s="175"/>
      <c r="CO267" s="175"/>
      <c r="CP267" s="175"/>
      <c r="CQ267" s="175"/>
      <c r="CR267" s="175"/>
      <c r="CS267" s="175"/>
      <c r="CT267" s="175"/>
      <c r="CU267" s="175"/>
      <c r="CV267" s="175"/>
      <c r="CW267" s="175"/>
      <c r="CX267" s="175"/>
      <c r="CY267" s="175"/>
      <c r="CZ267" s="175"/>
      <c r="DA267" s="175"/>
      <c r="DB267" s="175"/>
      <c r="DC267" s="175"/>
      <c r="DD267" s="175"/>
      <c r="DE267" s="175"/>
      <c r="DF267" s="175"/>
      <c r="DG267" s="175"/>
      <c r="DH267" s="175"/>
      <c r="DI267" s="175"/>
      <c r="DJ267" s="175"/>
      <c r="DK267" s="175"/>
      <c r="DL267" s="175"/>
      <c r="DM267" s="175"/>
      <c r="DN267" s="175"/>
      <c r="DO267" s="175"/>
      <c r="DP267" s="175"/>
      <c r="DQ267" s="175"/>
      <c r="DR267" s="175"/>
      <c r="DS267" s="175"/>
      <c r="DT267" s="175"/>
      <c r="DU267" s="175"/>
      <c r="DV267" s="175"/>
      <c r="DW267" s="175"/>
      <c r="DX267" s="175"/>
      <c r="DY267" s="175"/>
      <c r="DZ267" s="175"/>
      <c r="EA267" s="175"/>
      <c r="EB267" s="175"/>
      <c r="EC267" s="175"/>
      <c r="ED267" s="175"/>
      <c r="EE267" s="175"/>
      <c r="EF267" s="175"/>
      <c r="EG267" s="175"/>
      <c r="EH267" s="175"/>
      <c r="EI267" s="175"/>
      <c r="EJ267" s="175"/>
      <c r="EK267" s="175"/>
      <c r="EL267" s="175"/>
      <c r="EM267" s="175"/>
      <c r="EN267" s="175"/>
      <c r="EO267" s="175"/>
      <c r="EP267" s="175"/>
      <c r="EQ267" s="175"/>
      <c r="ER267" s="175"/>
      <c r="ES267" s="175"/>
      <c r="ET267" s="175"/>
      <c r="EU267" s="175"/>
      <c r="EV267" s="175"/>
      <c r="EW267" s="175"/>
      <c r="EX267" s="175"/>
      <c r="EY267" s="175"/>
      <c r="EZ267" s="175"/>
      <c r="FA267" s="175"/>
      <c r="FB267" s="175"/>
      <c r="FC267" s="175"/>
      <c r="FD267" s="175"/>
      <c r="FE267" s="175"/>
      <c r="FF267" s="175"/>
      <c r="FG267" s="175"/>
      <c r="FH267" s="175"/>
      <c r="FI267" s="175"/>
      <c r="FJ267" s="175"/>
      <c r="FK267" s="175"/>
      <c r="FL267" s="175"/>
      <c r="FM267" s="175"/>
      <c r="FN267" s="175"/>
      <c r="FO267" s="175"/>
      <c r="FP267" s="175"/>
      <c r="FQ267" s="175"/>
      <c r="FR267" s="175"/>
      <c r="FS267" s="175"/>
      <c r="FT267" s="175"/>
      <c r="FU267" s="175"/>
      <c r="FV267" s="175"/>
      <c r="FW267" s="175"/>
      <c r="FX267" s="175"/>
      <c r="FY267" s="175"/>
      <c r="FZ267" s="175"/>
      <c r="GA267" s="175"/>
      <c r="GB267" s="175"/>
      <c r="GC267" s="175"/>
      <c r="GD267" s="175"/>
      <c r="GE267" s="175"/>
      <c r="GF267" s="175"/>
      <c r="GG267" s="175"/>
      <c r="GH267" s="175"/>
      <c r="GI267" s="175"/>
      <c r="GJ267" s="175"/>
      <c r="GK267" s="175"/>
      <c r="GL267" s="175"/>
      <c r="GM267" s="175"/>
      <c r="GN267" s="175"/>
      <c r="GO267" s="175"/>
      <c r="GP267" s="175"/>
      <c r="GQ267" s="175"/>
      <c r="GR267" s="175"/>
      <c r="GS267" s="175"/>
      <c r="GT267" s="175"/>
      <c r="GU267" s="175"/>
      <c r="GV267" s="175"/>
      <c r="GW267" s="175"/>
      <c r="GX267" s="175"/>
      <c r="GY267" s="175"/>
      <c r="GZ267" s="175"/>
      <c r="HA267" s="175"/>
      <c r="HB267" s="175"/>
      <c r="HC267" s="175"/>
      <c r="HD267" s="175"/>
      <c r="HE267" s="175"/>
      <c r="HF267" s="175"/>
      <c r="HG267" s="175"/>
      <c r="HH267" s="175"/>
      <c r="HI267" s="175"/>
      <c r="HJ267" s="175"/>
      <c r="HK267" s="175"/>
      <c r="HL267" s="175"/>
      <c r="HM267" s="175"/>
      <c r="HN267" s="175"/>
      <c r="HO267" s="175"/>
      <c r="HP267" s="175"/>
      <c r="HQ267" s="175"/>
      <c r="HR267" s="175"/>
      <c r="HS267" s="175"/>
      <c r="HT267" s="175"/>
      <c r="HU267" s="175"/>
      <c r="HV267" s="175"/>
      <c r="HW267" s="175"/>
      <c r="HX267" s="175"/>
      <c r="HY267" s="175"/>
      <c r="HZ267" s="175"/>
      <c r="IA267" s="175"/>
      <c r="IB267" s="175"/>
      <c r="IC267" s="175"/>
      <c r="ID267" s="175"/>
      <c r="IE267" s="175"/>
      <c r="IF267" s="175"/>
      <c r="IG267" s="175"/>
      <c r="IH267" s="175"/>
      <c r="II267" s="175"/>
      <c r="IJ267" s="175"/>
      <c r="IK267" s="175"/>
      <c r="IL267" s="175"/>
      <c r="IM267" s="175"/>
      <c r="IN267" s="175"/>
      <c r="IO267" s="175"/>
      <c r="IP267" s="175"/>
      <c r="IQ267" s="175"/>
      <c r="IR267" s="175"/>
      <c r="IS267" s="175"/>
      <c r="IT267" s="175"/>
      <c r="IU267" s="175"/>
      <c r="IV267" s="175"/>
      <c r="IW267" s="175"/>
      <c r="IX267" s="175"/>
      <c r="IY267" s="175"/>
      <c r="IZ267" s="175"/>
      <c r="JA267" s="175"/>
      <c r="JB267" s="175"/>
      <c r="JC267" s="175"/>
      <c r="JD267" s="175"/>
      <c r="JE267" s="175"/>
      <c r="JF267" s="175"/>
      <c r="JG267" s="175"/>
      <c r="JH267" s="175"/>
      <c r="JI267" s="175"/>
      <c r="JJ267" s="175"/>
      <c r="JK267" s="175"/>
      <c r="JL267" s="175"/>
      <c r="JM267" s="175"/>
      <c r="JN267" s="175"/>
      <c r="JO267" s="175"/>
      <c r="JP267" s="175"/>
      <c r="JQ267" s="175"/>
      <c r="JR267" s="175"/>
      <c r="JS267" s="175"/>
      <c r="JT267" s="175"/>
      <c r="JU267" s="175"/>
      <c r="JV267" s="175"/>
      <c r="JW267" s="175"/>
      <c r="JX267" s="175"/>
      <c r="JY267" s="175"/>
      <c r="JZ267" s="175"/>
      <c r="KA267" s="175"/>
      <c r="KB267" s="175"/>
      <c r="KC267" s="175"/>
      <c r="KD267" s="175"/>
      <c r="KE267" s="175"/>
      <c r="KF267" s="175"/>
      <c r="KG267" s="175"/>
      <c r="KH267" s="175"/>
      <c r="KI267" s="175"/>
      <c r="KJ267" s="175"/>
      <c r="KK267" s="175"/>
      <c r="KL267" s="175"/>
      <c r="KM267" s="175"/>
      <c r="KN267" s="175"/>
      <c r="KO267" s="175"/>
      <c r="KP267" s="175"/>
      <c r="KQ267" s="175"/>
      <c r="KR267" s="175"/>
      <c r="KS267" s="175"/>
      <c r="KT267" s="175"/>
      <c r="KU267" s="175"/>
    </row>
    <row r="268" spans="1:307" x14ac:dyDescent="0.2">
      <c r="A268" s="172"/>
      <c r="B268" s="172"/>
      <c r="C268" s="172"/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  <c r="BD268" s="172"/>
      <c r="BE268" s="172"/>
      <c r="BF268" s="172"/>
      <c r="BG268" s="172"/>
      <c r="BH268" s="172"/>
      <c r="BI268" s="172"/>
      <c r="BJ268" s="172"/>
      <c r="BK268" s="172"/>
      <c r="BL268" s="172"/>
      <c r="BM268" s="172"/>
      <c r="BN268" s="172"/>
      <c r="BO268" s="172"/>
      <c r="BP268" s="172"/>
      <c r="BQ268" s="172"/>
      <c r="BR268" s="172"/>
      <c r="BS268" s="172"/>
      <c r="BT268" s="172"/>
      <c r="BU268" s="172"/>
      <c r="BV268" s="172"/>
      <c r="BW268" s="172"/>
      <c r="BX268" s="175"/>
      <c r="BY268" s="175"/>
      <c r="BZ268" s="175"/>
      <c r="CA268" s="175"/>
      <c r="CB268" s="175"/>
      <c r="CC268" s="175"/>
      <c r="CD268" s="175"/>
      <c r="CE268" s="175"/>
      <c r="CF268" s="175"/>
      <c r="CG268" s="175"/>
      <c r="CH268" s="175"/>
      <c r="CI268" s="175"/>
      <c r="CJ268" s="175"/>
      <c r="CK268" s="175"/>
      <c r="CL268" s="175"/>
      <c r="CM268" s="175"/>
      <c r="CN268" s="175"/>
      <c r="CO268" s="175"/>
      <c r="CP268" s="175"/>
      <c r="CQ268" s="175"/>
      <c r="CR268" s="175"/>
      <c r="CS268" s="175"/>
      <c r="CT268" s="175"/>
      <c r="CU268" s="175"/>
      <c r="CV268" s="175"/>
      <c r="CW268" s="175"/>
      <c r="CX268" s="175"/>
      <c r="CY268" s="175"/>
      <c r="CZ268" s="175"/>
      <c r="DA268" s="175"/>
      <c r="DB268" s="175"/>
      <c r="DC268" s="175"/>
      <c r="DD268" s="175"/>
      <c r="DE268" s="175"/>
      <c r="DF268" s="175"/>
      <c r="DG268" s="175"/>
      <c r="DH268" s="175"/>
      <c r="DI268" s="175"/>
      <c r="DJ268" s="175"/>
      <c r="DK268" s="175"/>
      <c r="DL268" s="175"/>
      <c r="DM268" s="175"/>
      <c r="DN268" s="175"/>
      <c r="DO268" s="175"/>
      <c r="DP268" s="175"/>
      <c r="DQ268" s="175"/>
      <c r="DR268" s="175"/>
      <c r="DS268" s="175"/>
      <c r="DT268" s="175"/>
      <c r="DU268" s="175"/>
      <c r="DV268" s="175"/>
      <c r="DW268" s="175"/>
      <c r="DX268" s="175"/>
      <c r="DY268" s="175"/>
      <c r="DZ268" s="175"/>
      <c r="EA268" s="175"/>
      <c r="EB268" s="175"/>
      <c r="EC268" s="175"/>
      <c r="ED268" s="175"/>
      <c r="EE268" s="175"/>
      <c r="EF268" s="175"/>
      <c r="EG268" s="175"/>
      <c r="EH268" s="175"/>
      <c r="EI268" s="175"/>
      <c r="EJ268" s="175"/>
      <c r="EK268" s="175"/>
      <c r="EL268" s="175"/>
      <c r="EM268" s="175"/>
      <c r="EN268" s="175"/>
      <c r="EO268" s="175"/>
      <c r="EP268" s="175"/>
      <c r="EQ268" s="175"/>
      <c r="ER268" s="175"/>
      <c r="ES268" s="175"/>
      <c r="ET268" s="175"/>
      <c r="EU268" s="175"/>
      <c r="EV268" s="175"/>
      <c r="EW268" s="175"/>
      <c r="EX268" s="175"/>
      <c r="EY268" s="175"/>
      <c r="EZ268" s="175"/>
      <c r="FA268" s="175"/>
      <c r="FB268" s="175"/>
      <c r="FC268" s="175"/>
      <c r="FD268" s="175"/>
      <c r="FE268" s="175"/>
      <c r="FF268" s="175"/>
      <c r="FG268" s="175"/>
      <c r="FH268" s="175"/>
      <c r="FI268" s="175"/>
      <c r="FJ268" s="175"/>
      <c r="FK268" s="175"/>
      <c r="FL268" s="175"/>
      <c r="FM268" s="175"/>
      <c r="FN268" s="175"/>
      <c r="FO268" s="175"/>
      <c r="FP268" s="175"/>
      <c r="FQ268" s="175"/>
      <c r="FR268" s="175"/>
      <c r="FS268" s="175"/>
      <c r="FT268" s="175"/>
      <c r="FU268" s="175"/>
      <c r="FV268" s="175"/>
      <c r="FW268" s="175"/>
      <c r="FX268" s="175"/>
      <c r="FY268" s="175"/>
      <c r="FZ268" s="175"/>
      <c r="GA268" s="175"/>
      <c r="GB268" s="175"/>
      <c r="GC268" s="175"/>
      <c r="GD268" s="175"/>
      <c r="GE268" s="175"/>
      <c r="GF268" s="175"/>
      <c r="GG268" s="175"/>
      <c r="GH268" s="175"/>
      <c r="GI268" s="175"/>
      <c r="GJ268" s="175"/>
      <c r="GK268" s="175"/>
      <c r="GL268" s="175"/>
      <c r="GM268" s="175"/>
      <c r="GN268" s="175"/>
      <c r="GO268" s="175"/>
      <c r="GP268" s="175"/>
      <c r="GQ268" s="175"/>
      <c r="GR268" s="175"/>
      <c r="GS268" s="175"/>
      <c r="GT268" s="175"/>
      <c r="GU268" s="175"/>
      <c r="GV268" s="175"/>
      <c r="GW268" s="175"/>
      <c r="GX268" s="175"/>
      <c r="GY268" s="175"/>
      <c r="GZ268" s="175"/>
      <c r="HA268" s="175"/>
      <c r="HB268" s="175"/>
      <c r="HC268" s="175"/>
      <c r="HD268" s="175"/>
      <c r="HE268" s="175"/>
      <c r="HF268" s="175"/>
      <c r="HG268" s="175"/>
      <c r="HH268" s="175"/>
      <c r="HI268" s="175"/>
      <c r="HJ268" s="175"/>
      <c r="HK268" s="175"/>
      <c r="HL268" s="175"/>
      <c r="HM268" s="175"/>
      <c r="HN268" s="175"/>
      <c r="HO268" s="175"/>
      <c r="HP268" s="175"/>
      <c r="HQ268" s="175"/>
      <c r="HR268" s="175"/>
      <c r="HS268" s="175"/>
      <c r="HT268" s="175"/>
      <c r="HU268" s="175"/>
      <c r="HV268" s="175"/>
      <c r="HW268" s="175"/>
      <c r="HX268" s="175"/>
      <c r="HY268" s="175"/>
      <c r="HZ268" s="175"/>
      <c r="IA268" s="175"/>
      <c r="IB268" s="175"/>
      <c r="IC268" s="175"/>
      <c r="ID268" s="175"/>
      <c r="IE268" s="175"/>
      <c r="IF268" s="175"/>
      <c r="IG268" s="175"/>
      <c r="IH268" s="175"/>
      <c r="II268" s="175"/>
      <c r="IJ268" s="175"/>
      <c r="IK268" s="175"/>
      <c r="IL268" s="175"/>
      <c r="IM268" s="175"/>
      <c r="IN268" s="175"/>
      <c r="IO268" s="175"/>
      <c r="IP268" s="175"/>
      <c r="IQ268" s="175"/>
      <c r="IR268" s="175"/>
      <c r="IS268" s="175"/>
      <c r="IT268" s="175"/>
      <c r="IU268" s="175"/>
      <c r="IV268" s="175"/>
      <c r="IW268" s="175"/>
      <c r="IX268" s="175"/>
      <c r="IY268" s="175"/>
      <c r="IZ268" s="175"/>
      <c r="JA268" s="175"/>
      <c r="JB268" s="175"/>
      <c r="JC268" s="175"/>
      <c r="JD268" s="175"/>
      <c r="JE268" s="175"/>
      <c r="JF268" s="175"/>
      <c r="JG268" s="175"/>
      <c r="JH268" s="175"/>
      <c r="JI268" s="175"/>
      <c r="JJ268" s="175"/>
      <c r="JK268" s="175"/>
      <c r="JL268" s="175"/>
      <c r="JM268" s="175"/>
      <c r="JN268" s="175"/>
      <c r="JO268" s="175"/>
      <c r="JP268" s="175"/>
      <c r="JQ268" s="175"/>
      <c r="JR268" s="175"/>
      <c r="JS268" s="175"/>
      <c r="JT268" s="175"/>
      <c r="JU268" s="175"/>
      <c r="JV268" s="175"/>
      <c r="JW268" s="175"/>
      <c r="JX268" s="175"/>
      <c r="JY268" s="175"/>
      <c r="JZ268" s="175"/>
      <c r="KA268" s="175"/>
      <c r="KB268" s="175"/>
      <c r="KC268" s="175"/>
      <c r="KD268" s="175"/>
      <c r="KE268" s="175"/>
      <c r="KF268" s="175"/>
      <c r="KG268" s="175"/>
      <c r="KH268" s="175"/>
      <c r="KI268" s="175"/>
      <c r="KJ268" s="175"/>
      <c r="KK268" s="175"/>
      <c r="KL268" s="175"/>
      <c r="KM268" s="175"/>
      <c r="KN268" s="175"/>
      <c r="KO268" s="175"/>
      <c r="KP268" s="175"/>
      <c r="KQ268" s="175"/>
      <c r="KR268" s="175"/>
      <c r="KS268" s="175"/>
      <c r="KT268" s="175"/>
      <c r="KU268" s="175"/>
    </row>
    <row r="269" spans="1:307" x14ac:dyDescent="0.2">
      <c r="A269" s="172"/>
      <c r="B269" s="172"/>
      <c r="C269" s="172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  <c r="AA269" s="172"/>
      <c r="AB269" s="172"/>
      <c r="AC269" s="172"/>
      <c r="AD269" s="172"/>
      <c r="AE269" s="172"/>
      <c r="AF269" s="172"/>
      <c r="AG269" s="172"/>
      <c r="AH269" s="172"/>
      <c r="AI269" s="172"/>
      <c r="AJ269" s="172"/>
      <c r="AK269" s="172"/>
      <c r="AL269" s="172"/>
      <c r="AM269" s="172"/>
      <c r="AN269" s="172"/>
      <c r="AO269" s="172"/>
      <c r="AP269" s="172"/>
      <c r="AQ269" s="172"/>
      <c r="AR269" s="172"/>
      <c r="AS269" s="172"/>
      <c r="AT269" s="172"/>
      <c r="AU269" s="172"/>
      <c r="AV269" s="172"/>
      <c r="AW269" s="172"/>
      <c r="AX269" s="172"/>
      <c r="AY269" s="172"/>
      <c r="AZ269" s="172"/>
      <c r="BA269" s="172"/>
      <c r="BB269" s="172"/>
      <c r="BC269" s="172"/>
      <c r="BD269" s="172"/>
      <c r="BE269" s="172"/>
      <c r="BF269" s="172"/>
      <c r="BG269" s="172"/>
      <c r="BH269" s="172"/>
      <c r="BI269" s="172"/>
      <c r="BJ269" s="172"/>
      <c r="BK269" s="172"/>
      <c r="BL269" s="172"/>
      <c r="BM269" s="172"/>
      <c r="BN269" s="172"/>
      <c r="BO269" s="172"/>
      <c r="BP269" s="172"/>
      <c r="BQ269" s="172"/>
      <c r="BR269" s="172"/>
      <c r="BS269" s="172"/>
      <c r="BT269" s="172"/>
      <c r="BU269" s="172"/>
      <c r="BV269" s="172"/>
      <c r="BW269" s="172"/>
      <c r="BX269" s="175"/>
      <c r="BY269" s="175"/>
      <c r="BZ269" s="175"/>
      <c r="CA269" s="175"/>
      <c r="CB269" s="175"/>
      <c r="CC269" s="175"/>
      <c r="CD269" s="175"/>
      <c r="CE269" s="175"/>
      <c r="CF269" s="175"/>
      <c r="CG269" s="175"/>
      <c r="CH269" s="175"/>
      <c r="CI269" s="175"/>
      <c r="CJ269" s="175"/>
      <c r="CK269" s="175"/>
      <c r="CL269" s="175"/>
      <c r="CM269" s="175"/>
      <c r="CN269" s="175"/>
      <c r="CO269" s="175"/>
      <c r="CP269" s="175"/>
      <c r="CQ269" s="175"/>
      <c r="CR269" s="175"/>
      <c r="CS269" s="175"/>
      <c r="CT269" s="175"/>
      <c r="CU269" s="175"/>
      <c r="CV269" s="175"/>
      <c r="CW269" s="175"/>
      <c r="CX269" s="175"/>
      <c r="CY269" s="175"/>
      <c r="CZ269" s="175"/>
      <c r="DA269" s="175"/>
      <c r="DB269" s="175"/>
      <c r="DC269" s="175"/>
      <c r="DD269" s="175"/>
      <c r="DE269" s="175"/>
      <c r="DF269" s="175"/>
      <c r="DG269" s="175"/>
      <c r="DH269" s="175"/>
      <c r="DI269" s="175"/>
      <c r="DJ269" s="175"/>
      <c r="DK269" s="175"/>
      <c r="DL269" s="175"/>
      <c r="DM269" s="175"/>
      <c r="DN269" s="175"/>
      <c r="DO269" s="175"/>
      <c r="DP269" s="175"/>
      <c r="DQ269" s="175"/>
      <c r="DR269" s="175"/>
      <c r="DS269" s="175"/>
      <c r="DT269" s="175"/>
      <c r="DU269" s="175"/>
      <c r="DV269" s="175"/>
      <c r="DW269" s="175"/>
      <c r="DX269" s="175"/>
      <c r="DY269" s="175"/>
      <c r="DZ269" s="175"/>
      <c r="EA269" s="175"/>
      <c r="EB269" s="175"/>
      <c r="EC269" s="175"/>
      <c r="ED269" s="175"/>
      <c r="EE269" s="175"/>
      <c r="EF269" s="175"/>
      <c r="EG269" s="175"/>
      <c r="EH269" s="175"/>
      <c r="EI269" s="175"/>
      <c r="EJ269" s="175"/>
      <c r="EK269" s="175"/>
      <c r="EL269" s="175"/>
      <c r="EM269" s="175"/>
      <c r="EN269" s="175"/>
      <c r="EO269" s="175"/>
      <c r="EP269" s="175"/>
      <c r="EQ269" s="175"/>
      <c r="ER269" s="175"/>
      <c r="ES269" s="175"/>
      <c r="ET269" s="175"/>
      <c r="EU269" s="175"/>
      <c r="EV269" s="175"/>
      <c r="EW269" s="175"/>
      <c r="EX269" s="175"/>
      <c r="EY269" s="175"/>
      <c r="EZ269" s="175"/>
      <c r="FA269" s="175"/>
      <c r="FB269" s="175"/>
      <c r="FC269" s="175"/>
      <c r="FD269" s="175"/>
      <c r="FE269" s="175"/>
      <c r="FF269" s="175"/>
      <c r="FG269" s="175"/>
      <c r="FH269" s="175"/>
      <c r="FI269" s="175"/>
      <c r="FJ269" s="175"/>
      <c r="FK269" s="175"/>
      <c r="FL269" s="175"/>
      <c r="FM269" s="175"/>
      <c r="FN269" s="175"/>
      <c r="FO269" s="175"/>
      <c r="FP269" s="175"/>
      <c r="FQ269" s="175"/>
      <c r="FR269" s="175"/>
      <c r="FS269" s="175"/>
      <c r="FT269" s="175"/>
      <c r="FU269" s="175"/>
      <c r="FV269" s="175"/>
      <c r="FW269" s="175"/>
      <c r="FX269" s="175"/>
      <c r="FY269" s="175"/>
      <c r="FZ269" s="175"/>
      <c r="GA269" s="175"/>
      <c r="GB269" s="175"/>
      <c r="GC269" s="175"/>
      <c r="GD269" s="175"/>
      <c r="GE269" s="175"/>
      <c r="GF269" s="175"/>
      <c r="GG269" s="175"/>
      <c r="GH269" s="175"/>
      <c r="GI269" s="175"/>
      <c r="GJ269" s="175"/>
      <c r="GK269" s="175"/>
      <c r="GL269" s="175"/>
      <c r="GM269" s="175"/>
      <c r="GN269" s="175"/>
      <c r="GO269" s="175"/>
      <c r="GP269" s="175"/>
      <c r="GQ269" s="175"/>
      <c r="GR269" s="175"/>
      <c r="GS269" s="175"/>
      <c r="GT269" s="175"/>
      <c r="GU269" s="175"/>
      <c r="GV269" s="175"/>
      <c r="GW269" s="175"/>
      <c r="GX269" s="175"/>
      <c r="GY269" s="175"/>
      <c r="GZ269" s="175"/>
      <c r="HA269" s="175"/>
      <c r="HB269" s="175"/>
      <c r="HC269" s="175"/>
      <c r="HD269" s="175"/>
      <c r="HE269" s="175"/>
      <c r="HF269" s="175"/>
      <c r="HG269" s="175"/>
      <c r="HH269" s="175"/>
      <c r="HI269" s="175"/>
      <c r="HJ269" s="175"/>
      <c r="HK269" s="175"/>
      <c r="HL269" s="175"/>
      <c r="HM269" s="175"/>
      <c r="HN269" s="175"/>
      <c r="HO269" s="175"/>
      <c r="HP269" s="175"/>
      <c r="HQ269" s="175"/>
      <c r="HR269" s="175"/>
      <c r="HS269" s="175"/>
      <c r="HT269" s="175"/>
      <c r="HU269" s="175"/>
      <c r="HV269" s="175"/>
      <c r="HW269" s="175"/>
      <c r="HX269" s="175"/>
      <c r="HY269" s="175"/>
      <c r="HZ269" s="175"/>
      <c r="IA269" s="175"/>
      <c r="IB269" s="175"/>
      <c r="IC269" s="175"/>
      <c r="ID269" s="175"/>
      <c r="IE269" s="175"/>
      <c r="IF269" s="175"/>
      <c r="IG269" s="175"/>
      <c r="IH269" s="175"/>
      <c r="II269" s="175"/>
      <c r="IJ269" s="175"/>
      <c r="IK269" s="175"/>
      <c r="IL269" s="175"/>
      <c r="IM269" s="175"/>
      <c r="IN269" s="175"/>
      <c r="IO269" s="175"/>
      <c r="IP269" s="175"/>
      <c r="IQ269" s="175"/>
      <c r="IR269" s="175"/>
      <c r="IS269" s="175"/>
      <c r="IT269" s="175"/>
      <c r="IU269" s="175"/>
      <c r="IV269" s="175"/>
      <c r="IW269" s="175"/>
      <c r="IX269" s="175"/>
      <c r="IY269" s="175"/>
      <c r="IZ269" s="175"/>
      <c r="JA269" s="175"/>
      <c r="JB269" s="175"/>
      <c r="JC269" s="175"/>
      <c r="JD269" s="175"/>
      <c r="JE269" s="175"/>
      <c r="JF269" s="175"/>
      <c r="JG269" s="175"/>
      <c r="JH269" s="175"/>
      <c r="JI269" s="175"/>
      <c r="JJ269" s="175"/>
      <c r="JK269" s="175"/>
      <c r="JL269" s="175"/>
      <c r="JM269" s="175"/>
      <c r="JN269" s="175"/>
      <c r="JO269" s="175"/>
      <c r="JP269" s="175"/>
      <c r="JQ269" s="175"/>
      <c r="JR269" s="175"/>
      <c r="JS269" s="175"/>
      <c r="JT269" s="175"/>
      <c r="JU269" s="175"/>
      <c r="JV269" s="175"/>
      <c r="JW269" s="175"/>
      <c r="JX269" s="175"/>
      <c r="JY269" s="175"/>
      <c r="JZ269" s="175"/>
      <c r="KA269" s="175"/>
      <c r="KB269" s="175"/>
      <c r="KC269" s="175"/>
      <c r="KD269" s="175"/>
      <c r="KE269" s="175"/>
      <c r="KF269" s="175"/>
      <c r="KG269" s="175"/>
      <c r="KH269" s="175"/>
      <c r="KI269" s="175"/>
      <c r="KJ269" s="175"/>
      <c r="KK269" s="175"/>
      <c r="KL269" s="175"/>
      <c r="KM269" s="175"/>
      <c r="KN269" s="175"/>
      <c r="KO269" s="175"/>
      <c r="KP269" s="175"/>
      <c r="KQ269" s="175"/>
      <c r="KR269" s="175"/>
      <c r="KS269" s="175"/>
      <c r="KT269" s="175"/>
      <c r="KU269" s="175"/>
    </row>
    <row r="270" spans="1:307" x14ac:dyDescent="0.2">
      <c r="A270" s="172"/>
      <c r="B270" s="172"/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  <c r="AZ270" s="172"/>
      <c r="BA270" s="172"/>
      <c r="BB270" s="172"/>
      <c r="BC270" s="172"/>
      <c r="BD270" s="172"/>
      <c r="BE270" s="172"/>
      <c r="BF270" s="172"/>
      <c r="BG270" s="172"/>
      <c r="BH270" s="172"/>
      <c r="BI270" s="172"/>
      <c r="BJ270" s="172"/>
      <c r="BK270" s="172"/>
      <c r="BL270" s="172"/>
      <c r="BM270" s="172"/>
      <c r="BN270" s="172"/>
      <c r="BO270" s="172"/>
      <c r="BP270" s="172"/>
      <c r="BQ270" s="172"/>
      <c r="BR270" s="172"/>
      <c r="BS270" s="172"/>
      <c r="BT270" s="172"/>
      <c r="BU270" s="172"/>
      <c r="BV270" s="172"/>
      <c r="BW270" s="172"/>
      <c r="BX270" s="175"/>
      <c r="BY270" s="175"/>
      <c r="BZ270" s="175"/>
      <c r="CA270" s="175"/>
      <c r="CB270" s="175"/>
      <c r="CC270" s="175"/>
      <c r="CD270" s="175"/>
      <c r="CE270" s="175"/>
      <c r="CF270" s="175"/>
      <c r="CG270" s="175"/>
      <c r="CH270" s="175"/>
      <c r="CI270" s="175"/>
      <c r="CJ270" s="175"/>
      <c r="CK270" s="175"/>
      <c r="CL270" s="175"/>
      <c r="CM270" s="175"/>
      <c r="CN270" s="175"/>
      <c r="CO270" s="175"/>
      <c r="CP270" s="175"/>
      <c r="CQ270" s="175"/>
      <c r="CR270" s="175"/>
      <c r="CS270" s="175"/>
      <c r="CT270" s="175"/>
      <c r="CU270" s="175"/>
      <c r="CV270" s="175"/>
      <c r="CW270" s="175"/>
      <c r="CX270" s="175"/>
      <c r="CY270" s="175"/>
      <c r="CZ270" s="175"/>
      <c r="DA270" s="175"/>
      <c r="DB270" s="175"/>
      <c r="DC270" s="175"/>
      <c r="DD270" s="175"/>
      <c r="DE270" s="175"/>
      <c r="DF270" s="175"/>
      <c r="DG270" s="175"/>
      <c r="DH270" s="175"/>
      <c r="DI270" s="175"/>
      <c r="DJ270" s="175"/>
      <c r="DK270" s="175"/>
      <c r="DL270" s="175"/>
      <c r="DM270" s="175"/>
      <c r="DN270" s="175"/>
      <c r="DO270" s="175"/>
      <c r="DP270" s="175"/>
      <c r="DQ270" s="175"/>
      <c r="DR270" s="175"/>
      <c r="DS270" s="175"/>
      <c r="DT270" s="175"/>
      <c r="DU270" s="175"/>
      <c r="DV270" s="175"/>
      <c r="DW270" s="175"/>
      <c r="DX270" s="175"/>
      <c r="DY270" s="175"/>
      <c r="DZ270" s="175"/>
      <c r="EA270" s="175"/>
      <c r="EB270" s="175"/>
      <c r="EC270" s="175"/>
      <c r="ED270" s="175"/>
      <c r="EE270" s="175"/>
      <c r="EF270" s="175"/>
      <c r="EG270" s="175"/>
      <c r="EH270" s="175"/>
      <c r="EI270" s="175"/>
      <c r="EJ270" s="175"/>
      <c r="EK270" s="175"/>
      <c r="EL270" s="175"/>
      <c r="EM270" s="175"/>
      <c r="EN270" s="175"/>
      <c r="EO270" s="175"/>
      <c r="EP270" s="175"/>
      <c r="EQ270" s="175"/>
      <c r="ER270" s="175"/>
      <c r="ES270" s="175"/>
      <c r="ET270" s="175"/>
      <c r="EU270" s="175"/>
      <c r="EV270" s="175"/>
      <c r="EW270" s="175"/>
      <c r="EX270" s="175"/>
      <c r="EY270" s="175"/>
      <c r="EZ270" s="175"/>
      <c r="FA270" s="175"/>
      <c r="FB270" s="175"/>
      <c r="FC270" s="175"/>
      <c r="FD270" s="175"/>
      <c r="FE270" s="175"/>
      <c r="FF270" s="175"/>
      <c r="FG270" s="175"/>
      <c r="FH270" s="175"/>
      <c r="FI270" s="175"/>
      <c r="FJ270" s="175"/>
      <c r="FK270" s="175"/>
      <c r="FL270" s="175"/>
      <c r="FM270" s="175"/>
      <c r="FN270" s="175"/>
      <c r="FO270" s="175"/>
      <c r="FP270" s="175"/>
      <c r="FQ270" s="175"/>
      <c r="FR270" s="175"/>
      <c r="FS270" s="175"/>
      <c r="FT270" s="175"/>
      <c r="FU270" s="175"/>
      <c r="FV270" s="175"/>
      <c r="FW270" s="175"/>
      <c r="FX270" s="175"/>
      <c r="FY270" s="175"/>
      <c r="FZ270" s="175"/>
      <c r="GA270" s="175"/>
      <c r="GB270" s="175"/>
      <c r="GC270" s="175"/>
      <c r="GD270" s="175"/>
      <c r="GE270" s="175"/>
      <c r="GF270" s="175"/>
      <c r="GG270" s="175"/>
      <c r="GH270" s="175"/>
      <c r="GI270" s="175"/>
      <c r="GJ270" s="175"/>
      <c r="GK270" s="175"/>
      <c r="GL270" s="175"/>
      <c r="GM270" s="175"/>
      <c r="GN270" s="175"/>
      <c r="GO270" s="175"/>
      <c r="GP270" s="175"/>
      <c r="GQ270" s="175"/>
      <c r="GR270" s="175"/>
      <c r="GS270" s="175"/>
      <c r="GT270" s="175"/>
      <c r="GU270" s="175"/>
      <c r="GV270" s="175"/>
      <c r="GW270" s="175"/>
      <c r="GX270" s="175"/>
      <c r="GY270" s="175"/>
      <c r="GZ270" s="175"/>
      <c r="HA270" s="175"/>
      <c r="HB270" s="175"/>
      <c r="HC270" s="175"/>
      <c r="HD270" s="175"/>
      <c r="HE270" s="175"/>
      <c r="HF270" s="175"/>
      <c r="HG270" s="175"/>
      <c r="HH270" s="175"/>
      <c r="HI270" s="175"/>
      <c r="HJ270" s="175"/>
      <c r="HK270" s="175"/>
      <c r="HL270" s="175"/>
      <c r="HM270" s="175"/>
      <c r="HN270" s="175"/>
      <c r="HO270" s="175"/>
      <c r="HP270" s="175"/>
      <c r="HQ270" s="175"/>
      <c r="HR270" s="175"/>
      <c r="HS270" s="175"/>
      <c r="HT270" s="175"/>
      <c r="HU270" s="175"/>
      <c r="HV270" s="175"/>
      <c r="HW270" s="175"/>
      <c r="HX270" s="175"/>
      <c r="HY270" s="175"/>
      <c r="HZ270" s="175"/>
      <c r="IA270" s="175"/>
      <c r="IB270" s="175"/>
      <c r="IC270" s="175"/>
      <c r="ID270" s="175"/>
      <c r="IE270" s="175"/>
      <c r="IF270" s="175"/>
      <c r="IG270" s="175"/>
      <c r="IH270" s="175"/>
      <c r="II270" s="175"/>
      <c r="IJ270" s="175"/>
      <c r="IK270" s="175"/>
      <c r="IL270" s="175"/>
      <c r="IM270" s="175"/>
      <c r="IN270" s="175"/>
      <c r="IO270" s="175"/>
      <c r="IP270" s="175"/>
      <c r="IQ270" s="175"/>
      <c r="IR270" s="175"/>
      <c r="IS270" s="175"/>
      <c r="IT270" s="175"/>
      <c r="IU270" s="175"/>
      <c r="IV270" s="175"/>
      <c r="IW270" s="175"/>
      <c r="IX270" s="175"/>
      <c r="IY270" s="175"/>
      <c r="IZ270" s="175"/>
      <c r="JA270" s="175"/>
      <c r="JB270" s="175"/>
      <c r="JC270" s="175"/>
      <c r="JD270" s="175"/>
      <c r="JE270" s="175"/>
      <c r="JF270" s="175"/>
      <c r="JG270" s="175"/>
      <c r="JH270" s="175"/>
      <c r="JI270" s="175"/>
      <c r="JJ270" s="175"/>
      <c r="JK270" s="175"/>
      <c r="JL270" s="175"/>
      <c r="JM270" s="175"/>
      <c r="JN270" s="175"/>
      <c r="JO270" s="175"/>
      <c r="JP270" s="175"/>
      <c r="JQ270" s="175"/>
      <c r="JR270" s="175"/>
      <c r="JS270" s="175"/>
      <c r="JT270" s="175"/>
      <c r="JU270" s="175"/>
      <c r="JV270" s="175"/>
      <c r="JW270" s="175"/>
      <c r="JX270" s="175"/>
      <c r="JY270" s="175"/>
      <c r="JZ270" s="175"/>
      <c r="KA270" s="175"/>
      <c r="KB270" s="175"/>
      <c r="KC270" s="175"/>
      <c r="KD270" s="175"/>
      <c r="KE270" s="175"/>
      <c r="KF270" s="175"/>
      <c r="KG270" s="175"/>
      <c r="KH270" s="175"/>
      <c r="KI270" s="175"/>
      <c r="KJ270" s="175"/>
      <c r="KK270" s="175"/>
      <c r="KL270" s="175"/>
      <c r="KM270" s="175"/>
      <c r="KN270" s="175"/>
      <c r="KO270" s="175"/>
      <c r="KP270" s="175"/>
      <c r="KQ270" s="175"/>
      <c r="KR270" s="175"/>
      <c r="KS270" s="175"/>
      <c r="KT270" s="175"/>
      <c r="KU270" s="175"/>
    </row>
    <row r="271" spans="1:307" x14ac:dyDescent="0.2">
      <c r="A271" s="172"/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  <c r="AZ271" s="172"/>
      <c r="BA271" s="172"/>
      <c r="BB271" s="172"/>
      <c r="BC271" s="172"/>
      <c r="BD271" s="172"/>
      <c r="BE271" s="172"/>
      <c r="BF271" s="172"/>
      <c r="BG271" s="172"/>
      <c r="BH271" s="172"/>
      <c r="BI271" s="172"/>
      <c r="BJ271" s="172"/>
      <c r="BK271" s="172"/>
      <c r="BL271" s="172"/>
      <c r="BM271" s="172"/>
      <c r="BN271" s="172"/>
      <c r="BO271" s="172"/>
      <c r="BP271" s="172"/>
      <c r="BQ271" s="172"/>
      <c r="BR271" s="172"/>
      <c r="BS271" s="172"/>
      <c r="BT271" s="172"/>
      <c r="BU271" s="172"/>
      <c r="BV271" s="172"/>
      <c r="BW271" s="172"/>
      <c r="BX271" s="175"/>
      <c r="BY271" s="175"/>
      <c r="BZ271" s="175"/>
      <c r="CA271" s="175"/>
      <c r="CB271" s="175"/>
      <c r="CC271" s="175"/>
      <c r="CD271" s="175"/>
      <c r="CE271" s="175"/>
      <c r="CF271" s="175"/>
      <c r="CG271" s="175"/>
      <c r="CH271" s="175"/>
      <c r="CI271" s="175"/>
      <c r="CJ271" s="175"/>
      <c r="CK271" s="175"/>
      <c r="CL271" s="175"/>
      <c r="CM271" s="175"/>
      <c r="CN271" s="175"/>
      <c r="CO271" s="175"/>
      <c r="CP271" s="175"/>
      <c r="CQ271" s="175"/>
      <c r="CR271" s="175"/>
      <c r="CS271" s="175"/>
      <c r="CT271" s="175"/>
      <c r="CU271" s="175"/>
      <c r="CV271" s="175"/>
      <c r="CW271" s="175"/>
      <c r="CX271" s="175"/>
      <c r="CY271" s="175"/>
      <c r="CZ271" s="175"/>
      <c r="DA271" s="175"/>
      <c r="DB271" s="175"/>
      <c r="DC271" s="175"/>
      <c r="DD271" s="175"/>
      <c r="DE271" s="175"/>
      <c r="DF271" s="175"/>
      <c r="DG271" s="175"/>
      <c r="DH271" s="175"/>
      <c r="DI271" s="175"/>
      <c r="DJ271" s="175"/>
      <c r="DK271" s="175"/>
      <c r="DL271" s="175"/>
      <c r="DM271" s="175"/>
      <c r="DN271" s="175"/>
      <c r="DO271" s="175"/>
      <c r="DP271" s="175"/>
      <c r="DQ271" s="175"/>
      <c r="DR271" s="175"/>
      <c r="DS271" s="175"/>
      <c r="DT271" s="175"/>
      <c r="DU271" s="175"/>
      <c r="DV271" s="175"/>
      <c r="DW271" s="175"/>
      <c r="DX271" s="175"/>
      <c r="DY271" s="175"/>
      <c r="DZ271" s="175"/>
      <c r="EA271" s="175"/>
      <c r="EB271" s="175"/>
      <c r="EC271" s="175"/>
      <c r="ED271" s="175"/>
      <c r="EE271" s="175"/>
      <c r="EF271" s="175"/>
      <c r="EG271" s="175"/>
      <c r="EH271" s="175"/>
      <c r="EI271" s="175"/>
      <c r="EJ271" s="175"/>
      <c r="EK271" s="175"/>
      <c r="EL271" s="175"/>
      <c r="EM271" s="175"/>
      <c r="EN271" s="175"/>
      <c r="EO271" s="175"/>
      <c r="EP271" s="175"/>
      <c r="EQ271" s="175"/>
      <c r="ER271" s="175"/>
      <c r="ES271" s="175"/>
      <c r="ET271" s="175"/>
      <c r="EU271" s="175"/>
      <c r="EV271" s="175"/>
      <c r="EW271" s="175"/>
      <c r="EX271" s="175"/>
      <c r="EY271" s="175"/>
      <c r="EZ271" s="175"/>
      <c r="FA271" s="175"/>
      <c r="FB271" s="175"/>
      <c r="FC271" s="175"/>
      <c r="FD271" s="175"/>
      <c r="FE271" s="175"/>
      <c r="FF271" s="175"/>
      <c r="FG271" s="175"/>
      <c r="FH271" s="175"/>
      <c r="FI271" s="175"/>
      <c r="FJ271" s="175"/>
      <c r="FK271" s="175"/>
      <c r="FL271" s="175"/>
      <c r="FM271" s="175"/>
      <c r="FN271" s="175"/>
      <c r="FO271" s="175"/>
      <c r="FP271" s="175"/>
      <c r="FQ271" s="175"/>
      <c r="FR271" s="175"/>
      <c r="FS271" s="175"/>
      <c r="FT271" s="175"/>
      <c r="FU271" s="175"/>
      <c r="FV271" s="175"/>
      <c r="FW271" s="175"/>
      <c r="FX271" s="175"/>
      <c r="FY271" s="175"/>
      <c r="FZ271" s="175"/>
      <c r="GA271" s="175"/>
      <c r="GB271" s="175"/>
      <c r="GC271" s="175"/>
      <c r="GD271" s="175"/>
      <c r="GE271" s="175"/>
      <c r="GF271" s="175"/>
      <c r="GG271" s="175"/>
      <c r="GH271" s="175"/>
      <c r="GI271" s="175"/>
      <c r="GJ271" s="175"/>
      <c r="GK271" s="175"/>
      <c r="GL271" s="175"/>
      <c r="GM271" s="175"/>
      <c r="GN271" s="175"/>
      <c r="GO271" s="175"/>
      <c r="GP271" s="175"/>
      <c r="GQ271" s="175"/>
      <c r="GR271" s="175"/>
      <c r="GS271" s="175"/>
      <c r="GT271" s="175"/>
      <c r="GU271" s="175"/>
      <c r="GV271" s="175"/>
      <c r="GW271" s="175"/>
      <c r="GX271" s="175"/>
      <c r="GY271" s="175"/>
      <c r="GZ271" s="175"/>
      <c r="HA271" s="175"/>
      <c r="HB271" s="175"/>
      <c r="HC271" s="175"/>
      <c r="HD271" s="175"/>
      <c r="HE271" s="175"/>
      <c r="HF271" s="175"/>
      <c r="HG271" s="175"/>
      <c r="HH271" s="175"/>
      <c r="HI271" s="175"/>
      <c r="HJ271" s="175"/>
      <c r="HK271" s="175"/>
      <c r="HL271" s="175"/>
      <c r="HM271" s="175"/>
      <c r="HN271" s="175"/>
      <c r="HO271" s="175"/>
      <c r="HP271" s="175"/>
      <c r="HQ271" s="175"/>
      <c r="HR271" s="175"/>
      <c r="HS271" s="175"/>
      <c r="HT271" s="175"/>
      <c r="HU271" s="175"/>
      <c r="HV271" s="175"/>
      <c r="HW271" s="175"/>
      <c r="HX271" s="175"/>
      <c r="HY271" s="175"/>
      <c r="HZ271" s="175"/>
      <c r="IA271" s="175"/>
      <c r="IB271" s="175"/>
      <c r="IC271" s="175"/>
      <c r="ID271" s="175"/>
      <c r="IE271" s="175"/>
      <c r="IF271" s="175"/>
      <c r="IG271" s="175"/>
      <c r="IH271" s="175"/>
      <c r="II271" s="175"/>
      <c r="IJ271" s="175"/>
      <c r="IK271" s="175"/>
      <c r="IL271" s="175"/>
      <c r="IM271" s="175"/>
      <c r="IN271" s="175"/>
      <c r="IO271" s="175"/>
      <c r="IP271" s="175"/>
      <c r="IQ271" s="175"/>
      <c r="IR271" s="175"/>
      <c r="IS271" s="175"/>
      <c r="IT271" s="175"/>
      <c r="IU271" s="175"/>
      <c r="IV271" s="175"/>
      <c r="IW271" s="175"/>
      <c r="IX271" s="175"/>
      <c r="IY271" s="175"/>
      <c r="IZ271" s="175"/>
      <c r="JA271" s="175"/>
      <c r="JB271" s="175"/>
      <c r="JC271" s="175"/>
      <c r="JD271" s="175"/>
      <c r="JE271" s="175"/>
      <c r="JF271" s="175"/>
      <c r="JG271" s="175"/>
      <c r="JH271" s="175"/>
      <c r="JI271" s="175"/>
      <c r="JJ271" s="175"/>
      <c r="JK271" s="175"/>
      <c r="JL271" s="175"/>
      <c r="JM271" s="175"/>
      <c r="JN271" s="175"/>
      <c r="JO271" s="175"/>
      <c r="JP271" s="175"/>
      <c r="JQ271" s="175"/>
      <c r="JR271" s="175"/>
      <c r="JS271" s="175"/>
      <c r="JT271" s="175"/>
      <c r="JU271" s="175"/>
      <c r="JV271" s="175"/>
      <c r="JW271" s="175"/>
      <c r="JX271" s="175"/>
      <c r="JY271" s="175"/>
      <c r="JZ271" s="175"/>
      <c r="KA271" s="175"/>
      <c r="KB271" s="175"/>
      <c r="KC271" s="175"/>
      <c r="KD271" s="175"/>
      <c r="KE271" s="175"/>
      <c r="KF271" s="175"/>
      <c r="KG271" s="175"/>
      <c r="KH271" s="175"/>
      <c r="KI271" s="175"/>
      <c r="KJ271" s="175"/>
      <c r="KK271" s="175"/>
      <c r="KL271" s="175"/>
      <c r="KM271" s="175"/>
      <c r="KN271" s="175"/>
      <c r="KO271" s="175"/>
      <c r="KP271" s="175"/>
      <c r="KQ271" s="175"/>
      <c r="KR271" s="175"/>
      <c r="KS271" s="175"/>
      <c r="KT271" s="175"/>
      <c r="KU271" s="175"/>
    </row>
    <row r="272" spans="1:307" x14ac:dyDescent="0.2">
      <c r="A272" s="172"/>
      <c r="B272" s="172"/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2"/>
      <c r="BE272" s="172"/>
      <c r="BF272" s="172"/>
      <c r="BG272" s="172"/>
      <c r="BH272" s="172"/>
      <c r="BI272" s="172"/>
      <c r="BJ272" s="172"/>
      <c r="BK272" s="172"/>
      <c r="BL272" s="172"/>
      <c r="BM272" s="172"/>
      <c r="BN272" s="172"/>
      <c r="BO272" s="172"/>
      <c r="BP272" s="172"/>
      <c r="BQ272" s="172"/>
      <c r="BR272" s="172"/>
      <c r="BS272" s="172"/>
      <c r="BT272" s="172"/>
      <c r="BU272" s="172"/>
      <c r="BV272" s="172"/>
      <c r="BW272" s="172"/>
      <c r="BX272" s="175"/>
      <c r="BY272" s="175"/>
      <c r="BZ272" s="175"/>
      <c r="CA272" s="175"/>
      <c r="CB272" s="175"/>
      <c r="CC272" s="175"/>
      <c r="CD272" s="175"/>
      <c r="CE272" s="175"/>
      <c r="CF272" s="175"/>
      <c r="CG272" s="175"/>
      <c r="CH272" s="175"/>
      <c r="CI272" s="175"/>
      <c r="CJ272" s="175"/>
      <c r="CK272" s="175"/>
      <c r="CL272" s="175"/>
      <c r="CM272" s="175"/>
      <c r="CN272" s="175"/>
      <c r="CO272" s="175"/>
      <c r="CP272" s="175"/>
      <c r="CQ272" s="175"/>
      <c r="CR272" s="175"/>
      <c r="CS272" s="175"/>
      <c r="CT272" s="175"/>
      <c r="CU272" s="175"/>
      <c r="CV272" s="175"/>
      <c r="CW272" s="175"/>
      <c r="CX272" s="175"/>
      <c r="CY272" s="175"/>
      <c r="CZ272" s="175"/>
      <c r="DA272" s="175"/>
      <c r="DB272" s="175"/>
      <c r="DC272" s="175"/>
      <c r="DD272" s="175"/>
      <c r="DE272" s="175"/>
      <c r="DF272" s="175"/>
      <c r="DG272" s="175"/>
      <c r="DH272" s="175"/>
      <c r="DI272" s="175"/>
      <c r="DJ272" s="175"/>
      <c r="DK272" s="175"/>
      <c r="DL272" s="175"/>
      <c r="DM272" s="175"/>
      <c r="DN272" s="175"/>
      <c r="DO272" s="175"/>
      <c r="DP272" s="175"/>
      <c r="DQ272" s="175"/>
      <c r="DR272" s="175"/>
      <c r="DS272" s="175"/>
      <c r="DT272" s="175"/>
      <c r="DU272" s="175"/>
      <c r="DV272" s="175"/>
      <c r="DW272" s="175"/>
      <c r="DX272" s="175"/>
      <c r="DY272" s="175"/>
      <c r="DZ272" s="175"/>
      <c r="EA272" s="175"/>
      <c r="EB272" s="175"/>
      <c r="EC272" s="175"/>
      <c r="ED272" s="175"/>
      <c r="EE272" s="175"/>
      <c r="EF272" s="175"/>
      <c r="EG272" s="175"/>
      <c r="EH272" s="175"/>
      <c r="EI272" s="175"/>
      <c r="EJ272" s="175"/>
      <c r="EK272" s="175"/>
      <c r="EL272" s="175"/>
      <c r="EM272" s="175"/>
      <c r="EN272" s="175"/>
      <c r="EO272" s="175"/>
      <c r="EP272" s="175"/>
      <c r="EQ272" s="175"/>
      <c r="ER272" s="175"/>
      <c r="ES272" s="175"/>
      <c r="ET272" s="175"/>
      <c r="EU272" s="175"/>
      <c r="EV272" s="175"/>
      <c r="EW272" s="175"/>
      <c r="EX272" s="175"/>
      <c r="EY272" s="175"/>
      <c r="EZ272" s="175"/>
      <c r="FA272" s="175"/>
      <c r="FB272" s="175"/>
      <c r="FC272" s="175"/>
      <c r="FD272" s="175"/>
      <c r="FE272" s="175"/>
      <c r="FF272" s="175"/>
      <c r="FG272" s="175"/>
      <c r="FH272" s="175"/>
      <c r="FI272" s="175"/>
      <c r="FJ272" s="175"/>
      <c r="FK272" s="175"/>
      <c r="FL272" s="175"/>
      <c r="FM272" s="175"/>
      <c r="FN272" s="175"/>
      <c r="FO272" s="175"/>
      <c r="FP272" s="175"/>
      <c r="FQ272" s="175"/>
      <c r="FR272" s="175"/>
      <c r="FS272" s="175"/>
      <c r="FT272" s="175"/>
      <c r="FU272" s="175"/>
      <c r="FV272" s="175"/>
      <c r="FW272" s="175"/>
      <c r="FX272" s="175"/>
      <c r="FY272" s="175"/>
      <c r="FZ272" s="175"/>
      <c r="GA272" s="175"/>
      <c r="GB272" s="175"/>
      <c r="GC272" s="175"/>
      <c r="GD272" s="175"/>
      <c r="GE272" s="175"/>
      <c r="GF272" s="175"/>
      <c r="GG272" s="175"/>
      <c r="GH272" s="175"/>
      <c r="GI272" s="175"/>
      <c r="GJ272" s="175"/>
      <c r="GK272" s="175"/>
      <c r="GL272" s="175"/>
      <c r="GM272" s="175"/>
      <c r="GN272" s="175"/>
      <c r="GO272" s="175"/>
      <c r="GP272" s="175"/>
      <c r="GQ272" s="175"/>
      <c r="GR272" s="175"/>
      <c r="GS272" s="175"/>
      <c r="GT272" s="175"/>
      <c r="GU272" s="175"/>
      <c r="GV272" s="175"/>
      <c r="GW272" s="175"/>
      <c r="GX272" s="175"/>
      <c r="GY272" s="175"/>
      <c r="GZ272" s="175"/>
      <c r="HA272" s="175"/>
      <c r="HB272" s="175"/>
      <c r="HC272" s="175"/>
      <c r="HD272" s="175"/>
      <c r="HE272" s="175"/>
      <c r="HF272" s="175"/>
      <c r="HG272" s="175"/>
      <c r="HH272" s="175"/>
      <c r="HI272" s="175"/>
      <c r="HJ272" s="175"/>
      <c r="HK272" s="175"/>
      <c r="HL272" s="175"/>
      <c r="HM272" s="175"/>
      <c r="HN272" s="175"/>
      <c r="HO272" s="175"/>
      <c r="HP272" s="175"/>
      <c r="HQ272" s="175"/>
      <c r="HR272" s="175"/>
      <c r="HS272" s="175"/>
      <c r="HT272" s="175"/>
      <c r="HU272" s="175"/>
      <c r="HV272" s="175"/>
      <c r="HW272" s="175"/>
      <c r="HX272" s="175"/>
      <c r="HY272" s="175"/>
      <c r="HZ272" s="175"/>
      <c r="IA272" s="175"/>
      <c r="IB272" s="175"/>
      <c r="IC272" s="175"/>
      <c r="ID272" s="175"/>
      <c r="IE272" s="175"/>
      <c r="IF272" s="175"/>
      <c r="IG272" s="175"/>
      <c r="IH272" s="175"/>
      <c r="II272" s="175"/>
      <c r="IJ272" s="175"/>
      <c r="IK272" s="175"/>
      <c r="IL272" s="175"/>
      <c r="IM272" s="175"/>
      <c r="IN272" s="175"/>
      <c r="IO272" s="175"/>
      <c r="IP272" s="175"/>
      <c r="IQ272" s="175"/>
      <c r="IR272" s="175"/>
      <c r="IS272" s="175"/>
      <c r="IT272" s="175"/>
      <c r="IU272" s="175"/>
      <c r="IV272" s="175"/>
      <c r="IW272" s="175"/>
      <c r="IX272" s="175"/>
      <c r="IY272" s="175"/>
      <c r="IZ272" s="175"/>
      <c r="JA272" s="175"/>
      <c r="JB272" s="175"/>
      <c r="JC272" s="175"/>
      <c r="JD272" s="175"/>
      <c r="JE272" s="175"/>
      <c r="JF272" s="175"/>
      <c r="JG272" s="175"/>
      <c r="JH272" s="175"/>
      <c r="JI272" s="175"/>
      <c r="JJ272" s="175"/>
      <c r="JK272" s="175"/>
      <c r="JL272" s="175"/>
      <c r="JM272" s="175"/>
      <c r="JN272" s="175"/>
      <c r="JO272" s="175"/>
      <c r="JP272" s="175"/>
      <c r="JQ272" s="175"/>
      <c r="JR272" s="175"/>
      <c r="JS272" s="175"/>
      <c r="JT272" s="175"/>
      <c r="JU272" s="175"/>
      <c r="JV272" s="175"/>
      <c r="JW272" s="175"/>
      <c r="JX272" s="175"/>
      <c r="JY272" s="175"/>
      <c r="JZ272" s="175"/>
      <c r="KA272" s="175"/>
      <c r="KB272" s="175"/>
      <c r="KC272" s="175"/>
      <c r="KD272" s="175"/>
      <c r="KE272" s="175"/>
      <c r="KF272" s="175"/>
      <c r="KG272" s="175"/>
      <c r="KH272" s="175"/>
      <c r="KI272" s="175"/>
      <c r="KJ272" s="175"/>
      <c r="KK272" s="175"/>
      <c r="KL272" s="175"/>
      <c r="KM272" s="175"/>
      <c r="KN272" s="175"/>
      <c r="KO272" s="175"/>
      <c r="KP272" s="175"/>
      <c r="KQ272" s="175"/>
      <c r="KR272" s="175"/>
      <c r="KS272" s="175"/>
      <c r="KT272" s="175"/>
      <c r="KU272" s="175"/>
    </row>
    <row r="273" spans="1:307" x14ac:dyDescent="0.2">
      <c r="A273" s="172"/>
      <c r="B273" s="172"/>
      <c r="C273" s="172"/>
      <c r="D273" s="172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  <c r="AP273" s="172"/>
      <c r="AQ273" s="172"/>
      <c r="AR273" s="172"/>
      <c r="AS273" s="172"/>
      <c r="AT273" s="172"/>
      <c r="AU273" s="172"/>
      <c r="AV273" s="172"/>
      <c r="AW273" s="172"/>
      <c r="AX273" s="172"/>
      <c r="AY273" s="172"/>
      <c r="AZ273" s="172"/>
      <c r="BA273" s="172"/>
      <c r="BB273" s="172"/>
      <c r="BC273" s="172"/>
      <c r="BD273" s="172"/>
      <c r="BE273" s="172"/>
      <c r="BF273" s="172"/>
      <c r="BG273" s="172"/>
      <c r="BH273" s="172"/>
      <c r="BI273" s="172"/>
      <c r="BJ273" s="172"/>
      <c r="BK273" s="172"/>
      <c r="BL273" s="172"/>
      <c r="BM273" s="172"/>
      <c r="BN273" s="172"/>
      <c r="BO273" s="172"/>
      <c r="BP273" s="172"/>
      <c r="BQ273" s="172"/>
      <c r="BR273" s="172"/>
      <c r="BS273" s="172"/>
      <c r="BT273" s="172"/>
      <c r="BU273" s="172"/>
      <c r="BV273" s="172"/>
      <c r="BW273" s="172"/>
      <c r="BX273" s="175"/>
      <c r="BY273" s="175"/>
      <c r="BZ273" s="175"/>
      <c r="CA273" s="175"/>
      <c r="CB273" s="175"/>
      <c r="CC273" s="175"/>
      <c r="CD273" s="175"/>
      <c r="CE273" s="175"/>
      <c r="CF273" s="175"/>
      <c r="CG273" s="175"/>
      <c r="CH273" s="175"/>
      <c r="CI273" s="175"/>
      <c r="CJ273" s="175"/>
      <c r="CK273" s="175"/>
      <c r="CL273" s="175"/>
      <c r="CM273" s="175"/>
      <c r="CN273" s="175"/>
      <c r="CO273" s="175"/>
      <c r="CP273" s="175"/>
      <c r="CQ273" s="175"/>
      <c r="CR273" s="175"/>
      <c r="CS273" s="175"/>
      <c r="CT273" s="175"/>
      <c r="CU273" s="175"/>
      <c r="CV273" s="175"/>
      <c r="CW273" s="175"/>
      <c r="CX273" s="175"/>
      <c r="CY273" s="175"/>
      <c r="CZ273" s="175"/>
      <c r="DA273" s="175"/>
      <c r="DB273" s="175"/>
      <c r="DC273" s="175"/>
      <c r="DD273" s="175"/>
      <c r="DE273" s="175"/>
      <c r="DF273" s="175"/>
      <c r="DG273" s="175"/>
      <c r="DH273" s="175"/>
      <c r="DI273" s="175"/>
      <c r="DJ273" s="175"/>
      <c r="DK273" s="175"/>
      <c r="DL273" s="175"/>
      <c r="DM273" s="175"/>
      <c r="DN273" s="175"/>
      <c r="DO273" s="175"/>
      <c r="DP273" s="175"/>
      <c r="DQ273" s="175"/>
      <c r="DR273" s="175"/>
      <c r="DS273" s="175"/>
      <c r="DT273" s="175"/>
      <c r="DU273" s="175"/>
      <c r="DV273" s="175"/>
      <c r="DW273" s="175"/>
      <c r="DX273" s="175"/>
      <c r="DY273" s="175"/>
      <c r="DZ273" s="175"/>
      <c r="EA273" s="175"/>
      <c r="EB273" s="175"/>
      <c r="EC273" s="175"/>
      <c r="ED273" s="175"/>
      <c r="EE273" s="175"/>
      <c r="EF273" s="175"/>
      <c r="EG273" s="175"/>
      <c r="EH273" s="175"/>
      <c r="EI273" s="175"/>
      <c r="EJ273" s="175"/>
      <c r="EK273" s="175"/>
      <c r="EL273" s="175"/>
      <c r="EM273" s="175"/>
      <c r="EN273" s="175"/>
      <c r="EO273" s="175"/>
      <c r="EP273" s="175"/>
      <c r="EQ273" s="175"/>
      <c r="ER273" s="175"/>
      <c r="ES273" s="175"/>
      <c r="ET273" s="175"/>
      <c r="EU273" s="175"/>
      <c r="EV273" s="175"/>
      <c r="EW273" s="175"/>
      <c r="EX273" s="175"/>
      <c r="EY273" s="175"/>
      <c r="EZ273" s="175"/>
      <c r="FA273" s="175"/>
      <c r="FB273" s="175"/>
      <c r="FC273" s="175"/>
      <c r="FD273" s="175"/>
      <c r="FE273" s="175"/>
      <c r="FF273" s="175"/>
      <c r="FG273" s="175"/>
      <c r="FH273" s="175"/>
      <c r="FI273" s="175"/>
      <c r="FJ273" s="175"/>
      <c r="FK273" s="175"/>
      <c r="FL273" s="175"/>
      <c r="FM273" s="175"/>
      <c r="FN273" s="175"/>
      <c r="FO273" s="175"/>
      <c r="FP273" s="175"/>
      <c r="FQ273" s="175"/>
      <c r="FR273" s="175"/>
      <c r="FS273" s="175"/>
      <c r="FT273" s="175"/>
      <c r="FU273" s="175"/>
      <c r="FV273" s="175"/>
      <c r="FW273" s="175"/>
      <c r="FX273" s="175"/>
      <c r="FY273" s="175"/>
      <c r="FZ273" s="175"/>
      <c r="GA273" s="175"/>
      <c r="GB273" s="175"/>
      <c r="GC273" s="175"/>
      <c r="GD273" s="175"/>
      <c r="GE273" s="175"/>
      <c r="GF273" s="175"/>
      <c r="GG273" s="175"/>
      <c r="GH273" s="175"/>
      <c r="GI273" s="175"/>
      <c r="GJ273" s="175"/>
      <c r="GK273" s="175"/>
      <c r="GL273" s="175"/>
      <c r="GM273" s="175"/>
      <c r="GN273" s="175"/>
      <c r="GO273" s="175"/>
      <c r="GP273" s="175"/>
      <c r="GQ273" s="175"/>
      <c r="GR273" s="175"/>
      <c r="GS273" s="175"/>
      <c r="GT273" s="175"/>
      <c r="GU273" s="175"/>
      <c r="GV273" s="175"/>
      <c r="GW273" s="175"/>
      <c r="GX273" s="175"/>
      <c r="GY273" s="175"/>
      <c r="GZ273" s="175"/>
      <c r="HA273" s="175"/>
      <c r="HB273" s="175"/>
      <c r="HC273" s="175"/>
      <c r="HD273" s="175"/>
      <c r="HE273" s="175"/>
      <c r="HF273" s="175"/>
      <c r="HG273" s="175"/>
      <c r="HH273" s="175"/>
      <c r="HI273" s="175"/>
      <c r="HJ273" s="175"/>
      <c r="HK273" s="175"/>
      <c r="HL273" s="175"/>
      <c r="HM273" s="175"/>
      <c r="HN273" s="175"/>
      <c r="HO273" s="175"/>
      <c r="HP273" s="175"/>
      <c r="HQ273" s="175"/>
      <c r="HR273" s="175"/>
      <c r="HS273" s="175"/>
      <c r="HT273" s="175"/>
      <c r="HU273" s="175"/>
      <c r="HV273" s="175"/>
      <c r="HW273" s="175"/>
      <c r="HX273" s="175"/>
      <c r="HY273" s="175"/>
      <c r="HZ273" s="175"/>
      <c r="IA273" s="175"/>
      <c r="IB273" s="175"/>
      <c r="IC273" s="175"/>
      <c r="ID273" s="175"/>
      <c r="IE273" s="175"/>
      <c r="IF273" s="175"/>
      <c r="IG273" s="175"/>
      <c r="IH273" s="175"/>
      <c r="II273" s="175"/>
      <c r="IJ273" s="175"/>
      <c r="IK273" s="175"/>
      <c r="IL273" s="175"/>
      <c r="IM273" s="175"/>
      <c r="IN273" s="175"/>
      <c r="IO273" s="175"/>
      <c r="IP273" s="175"/>
      <c r="IQ273" s="175"/>
      <c r="IR273" s="175"/>
      <c r="IS273" s="175"/>
      <c r="IT273" s="175"/>
      <c r="IU273" s="175"/>
      <c r="IV273" s="175"/>
      <c r="IW273" s="175"/>
      <c r="IX273" s="175"/>
      <c r="IY273" s="175"/>
      <c r="IZ273" s="175"/>
      <c r="JA273" s="175"/>
      <c r="JB273" s="175"/>
      <c r="JC273" s="175"/>
      <c r="JD273" s="175"/>
      <c r="JE273" s="175"/>
      <c r="JF273" s="175"/>
      <c r="JG273" s="175"/>
      <c r="JH273" s="175"/>
      <c r="JI273" s="175"/>
      <c r="JJ273" s="175"/>
      <c r="JK273" s="175"/>
      <c r="JL273" s="175"/>
      <c r="JM273" s="175"/>
      <c r="JN273" s="175"/>
      <c r="JO273" s="175"/>
      <c r="JP273" s="175"/>
      <c r="JQ273" s="175"/>
      <c r="JR273" s="175"/>
      <c r="JS273" s="175"/>
      <c r="JT273" s="175"/>
      <c r="JU273" s="175"/>
      <c r="JV273" s="175"/>
      <c r="JW273" s="175"/>
      <c r="JX273" s="175"/>
      <c r="JY273" s="175"/>
      <c r="JZ273" s="175"/>
      <c r="KA273" s="175"/>
      <c r="KB273" s="175"/>
      <c r="KC273" s="175"/>
      <c r="KD273" s="175"/>
      <c r="KE273" s="175"/>
      <c r="KF273" s="175"/>
      <c r="KG273" s="175"/>
      <c r="KH273" s="175"/>
      <c r="KI273" s="175"/>
      <c r="KJ273" s="175"/>
      <c r="KK273" s="175"/>
      <c r="KL273" s="175"/>
      <c r="KM273" s="175"/>
      <c r="KN273" s="175"/>
      <c r="KO273" s="175"/>
      <c r="KP273" s="175"/>
      <c r="KQ273" s="175"/>
      <c r="KR273" s="175"/>
      <c r="KS273" s="175"/>
      <c r="KT273" s="175"/>
      <c r="KU273" s="175"/>
    </row>
    <row r="274" spans="1:307" x14ac:dyDescent="0.2">
      <c r="A274" s="172"/>
      <c r="B274" s="172"/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  <c r="AR274" s="172"/>
      <c r="AS274" s="172"/>
      <c r="AT274" s="172"/>
      <c r="AU274" s="172"/>
      <c r="AV274" s="172"/>
      <c r="AW274" s="172"/>
      <c r="AX274" s="172"/>
      <c r="AY274" s="172"/>
      <c r="AZ274" s="172"/>
      <c r="BA274" s="172"/>
      <c r="BB274" s="172"/>
      <c r="BC274" s="172"/>
      <c r="BD274" s="172"/>
      <c r="BE274" s="172"/>
      <c r="BF274" s="172"/>
      <c r="BG274" s="172"/>
      <c r="BH274" s="172"/>
      <c r="BI274" s="172"/>
      <c r="BJ274" s="172"/>
      <c r="BK274" s="172"/>
      <c r="BL274" s="172"/>
      <c r="BM274" s="172"/>
      <c r="BN274" s="172"/>
      <c r="BO274" s="172"/>
      <c r="BP274" s="172"/>
      <c r="BQ274" s="172"/>
      <c r="BR274" s="172"/>
      <c r="BS274" s="172"/>
      <c r="BT274" s="172"/>
      <c r="BU274" s="172"/>
      <c r="BV274" s="172"/>
      <c r="BW274" s="172"/>
      <c r="BX274" s="175"/>
      <c r="BY274" s="175"/>
      <c r="BZ274" s="175"/>
      <c r="CA274" s="175"/>
      <c r="CB274" s="175"/>
      <c r="CC274" s="175"/>
      <c r="CD274" s="175"/>
      <c r="CE274" s="175"/>
      <c r="CF274" s="175"/>
      <c r="CG274" s="175"/>
      <c r="CH274" s="175"/>
      <c r="CI274" s="175"/>
      <c r="CJ274" s="175"/>
      <c r="CK274" s="175"/>
      <c r="CL274" s="175"/>
      <c r="CM274" s="175"/>
      <c r="CN274" s="175"/>
      <c r="CO274" s="175"/>
      <c r="CP274" s="175"/>
      <c r="CQ274" s="175"/>
      <c r="CR274" s="175"/>
      <c r="CS274" s="175"/>
      <c r="CT274" s="175"/>
      <c r="CU274" s="175"/>
      <c r="CV274" s="175"/>
      <c r="CW274" s="175"/>
      <c r="CX274" s="175"/>
      <c r="CY274" s="175"/>
      <c r="CZ274" s="175"/>
      <c r="DA274" s="175"/>
      <c r="DB274" s="175"/>
      <c r="DC274" s="175"/>
      <c r="DD274" s="175"/>
      <c r="DE274" s="175"/>
      <c r="DF274" s="175"/>
      <c r="DG274" s="175"/>
      <c r="DH274" s="175"/>
      <c r="DI274" s="175"/>
      <c r="DJ274" s="175"/>
      <c r="DK274" s="175"/>
      <c r="DL274" s="175"/>
      <c r="DM274" s="175"/>
      <c r="DN274" s="175"/>
      <c r="DO274" s="175"/>
      <c r="DP274" s="175"/>
      <c r="DQ274" s="175"/>
      <c r="DR274" s="175"/>
      <c r="DS274" s="175"/>
      <c r="DT274" s="175"/>
      <c r="DU274" s="175"/>
      <c r="DV274" s="175"/>
      <c r="DW274" s="175"/>
      <c r="DX274" s="175"/>
      <c r="DY274" s="175"/>
      <c r="DZ274" s="175"/>
      <c r="EA274" s="175"/>
      <c r="EB274" s="175"/>
      <c r="EC274" s="175"/>
      <c r="ED274" s="175"/>
      <c r="EE274" s="175"/>
      <c r="EF274" s="175"/>
      <c r="EG274" s="175"/>
      <c r="EH274" s="175"/>
      <c r="EI274" s="175"/>
      <c r="EJ274" s="175"/>
      <c r="EK274" s="175"/>
      <c r="EL274" s="175"/>
      <c r="EM274" s="175"/>
      <c r="EN274" s="175"/>
      <c r="EO274" s="175"/>
      <c r="EP274" s="175"/>
      <c r="EQ274" s="175"/>
      <c r="ER274" s="175"/>
      <c r="ES274" s="175"/>
      <c r="ET274" s="175"/>
      <c r="EU274" s="175"/>
      <c r="EV274" s="175"/>
      <c r="EW274" s="175"/>
      <c r="EX274" s="175"/>
      <c r="EY274" s="175"/>
      <c r="EZ274" s="175"/>
      <c r="FA274" s="175"/>
      <c r="FB274" s="175"/>
      <c r="FC274" s="175"/>
      <c r="FD274" s="175"/>
      <c r="FE274" s="175"/>
      <c r="FF274" s="175"/>
      <c r="FG274" s="175"/>
      <c r="FH274" s="175"/>
      <c r="FI274" s="175"/>
      <c r="FJ274" s="175"/>
      <c r="FK274" s="175"/>
      <c r="FL274" s="175"/>
      <c r="FM274" s="175"/>
      <c r="FN274" s="175"/>
      <c r="FO274" s="175"/>
      <c r="FP274" s="175"/>
      <c r="FQ274" s="175"/>
      <c r="FR274" s="175"/>
      <c r="FS274" s="175"/>
      <c r="FT274" s="175"/>
      <c r="FU274" s="175"/>
      <c r="FV274" s="175"/>
      <c r="FW274" s="175"/>
      <c r="FX274" s="175"/>
      <c r="FY274" s="175"/>
      <c r="FZ274" s="175"/>
      <c r="GA274" s="175"/>
      <c r="GB274" s="175"/>
      <c r="GC274" s="175"/>
      <c r="GD274" s="175"/>
      <c r="GE274" s="175"/>
      <c r="GF274" s="175"/>
      <c r="GG274" s="175"/>
      <c r="GH274" s="175"/>
      <c r="GI274" s="175"/>
      <c r="GJ274" s="175"/>
      <c r="GK274" s="175"/>
      <c r="GL274" s="175"/>
      <c r="GM274" s="175"/>
      <c r="GN274" s="175"/>
      <c r="GO274" s="175"/>
      <c r="GP274" s="175"/>
      <c r="GQ274" s="175"/>
      <c r="GR274" s="175"/>
      <c r="GS274" s="175"/>
      <c r="GT274" s="175"/>
      <c r="GU274" s="175"/>
      <c r="GV274" s="175"/>
      <c r="GW274" s="175"/>
      <c r="GX274" s="175"/>
      <c r="GY274" s="175"/>
      <c r="GZ274" s="175"/>
      <c r="HA274" s="175"/>
      <c r="HB274" s="175"/>
      <c r="HC274" s="175"/>
      <c r="HD274" s="175"/>
      <c r="HE274" s="175"/>
      <c r="HF274" s="175"/>
      <c r="HG274" s="175"/>
      <c r="HH274" s="175"/>
      <c r="HI274" s="175"/>
      <c r="HJ274" s="175"/>
      <c r="HK274" s="175"/>
      <c r="HL274" s="175"/>
      <c r="HM274" s="175"/>
      <c r="HN274" s="175"/>
      <c r="HO274" s="175"/>
      <c r="HP274" s="175"/>
      <c r="HQ274" s="175"/>
      <c r="HR274" s="175"/>
      <c r="HS274" s="175"/>
      <c r="HT274" s="175"/>
      <c r="HU274" s="175"/>
      <c r="HV274" s="175"/>
      <c r="HW274" s="175"/>
      <c r="HX274" s="175"/>
      <c r="HY274" s="175"/>
      <c r="HZ274" s="175"/>
      <c r="IA274" s="175"/>
      <c r="IB274" s="175"/>
      <c r="IC274" s="175"/>
      <c r="ID274" s="175"/>
      <c r="IE274" s="175"/>
      <c r="IF274" s="175"/>
      <c r="IG274" s="175"/>
      <c r="IH274" s="175"/>
      <c r="II274" s="175"/>
      <c r="IJ274" s="175"/>
      <c r="IK274" s="175"/>
      <c r="IL274" s="175"/>
      <c r="IM274" s="175"/>
      <c r="IN274" s="175"/>
      <c r="IO274" s="175"/>
      <c r="IP274" s="175"/>
      <c r="IQ274" s="175"/>
      <c r="IR274" s="175"/>
      <c r="IS274" s="175"/>
      <c r="IT274" s="175"/>
      <c r="IU274" s="175"/>
      <c r="IV274" s="175"/>
      <c r="IW274" s="175"/>
      <c r="IX274" s="175"/>
      <c r="IY274" s="175"/>
      <c r="IZ274" s="175"/>
      <c r="JA274" s="175"/>
      <c r="JB274" s="175"/>
      <c r="JC274" s="175"/>
      <c r="JD274" s="175"/>
      <c r="JE274" s="175"/>
      <c r="JF274" s="175"/>
      <c r="JG274" s="175"/>
      <c r="JH274" s="175"/>
      <c r="JI274" s="175"/>
      <c r="JJ274" s="175"/>
      <c r="JK274" s="175"/>
      <c r="JL274" s="175"/>
      <c r="JM274" s="175"/>
      <c r="JN274" s="175"/>
      <c r="JO274" s="175"/>
      <c r="JP274" s="175"/>
      <c r="JQ274" s="175"/>
      <c r="JR274" s="175"/>
      <c r="JS274" s="175"/>
      <c r="JT274" s="175"/>
      <c r="JU274" s="175"/>
      <c r="JV274" s="175"/>
      <c r="JW274" s="175"/>
      <c r="JX274" s="175"/>
      <c r="JY274" s="175"/>
      <c r="JZ274" s="175"/>
      <c r="KA274" s="175"/>
      <c r="KB274" s="175"/>
      <c r="KC274" s="175"/>
      <c r="KD274" s="175"/>
      <c r="KE274" s="175"/>
      <c r="KF274" s="175"/>
      <c r="KG274" s="175"/>
      <c r="KH274" s="175"/>
      <c r="KI274" s="175"/>
      <c r="KJ274" s="175"/>
      <c r="KK274" s="175"/>
      <c r="KL274" s="175"/>
      <c r="KM274" s="175"/>
      <c r="KN274" s="175"/>
      <c r="KO274" s="175"/>
      <c r="KP274" s="175"/>
      <c r="KQ274" s="175"/>
      <c r="KR274" s="175"/>
      <c r="KS274" s="175"/>
      <c r="KT274" s="175"/>
      <c r="KU274" s="175"/>
    </row>
    <row r="275" spans="1:307" x14ac:dyDescent="0.2">
      <c r="A275" s="172"/>
      <c r="B275" s="172"/>
      <c r="C275" s="172"/>
      <c r="D275" s="172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  <c r="AZ275" s="172"/>
      <c r="BA275" s="172"/>
      <c r="BB275" s="172"/>
      <c r="BC275" s="172"/>
      <c r="BD275" s="172"/>
      <c r="BE275" s="172"/>
      <c r="BF275" s="172"/>
      <c r="BG275" s="172"/>
      <c r="BH275" s="172"/>
      <c r="BI275" s="172"/>
      <c r="BJ275" s="172"/>
      <c r="BK275" s="172"/>
      <c r="BL275" s="172"/>
      <c r="BM275" s="172"/>
      <c r="BN275" s="172"/>
      <c r="BO275" s="172"/>
      <c r="BP275" s="172"/>
      <c r="BQ275" s="172"/>
      <c r="BR275" s="172"/>
      <c r="BS275" s="172"/>
      <c r="BT275" s="172"/>
      <c r="BU275" s="172"/>
      <c r="BV275" s="172"/>
      <c r="BW275" s="172"/>
      <c r="BX275" s="175"/>
      <c r="BY275" s="175"/>
      <c r="BZ275" s="175"/>
      <c r="CA275" s="175"/>
      <c r="CB275" s="175"/>
      <c r="CC275" s="175"/>
      <c r="CD275" s="175"/>
      <c r="CE275" s="175"/>
      <c r="CF275" s="175"/>
      <c r="CG275" s="175"/>
      <c r="CH275" s="175"/>
      <c r="CI275" s="175"/>
      <c r="CJ275" s="175"/>
      <c r="CK275" s="175"/>
      <c r="CL275" s="175"/>
      <c r="CM275" s="175"/>
      <c r="CN275" s="175"/>
      <c r="CO275" s="175"/>
      <c r="CP275" s="175"/>
      <c r="CQ275" s="175"/>
      <c r="CR275" s="175"/>
      <c r="CS275" s="175"/>
      <c r="CT275" s="175"/>
      <c r="CU275" s="175"/>
      <c r="CV275" s="175"/>
      <c r="CW275" s="175"/>
      <c r="CX275" s="175"/>
      <c r="CY275" s="175"/>
      <c r="CZ275" s="175"/>
      <c r="DA275" s="175"/>
      <c r="DB275" s="175"/>
      <c r="DC275" s="175"/>
      <c r="DD275" s="175"/>
      <c r="DE275" s="175"/>
      <c r="DF275" s="175"/>
      <c r="DG275" s="175"/>
      <c r="DH275" s="175"/>
      <c r="DI275" s="175"/>
      <c r="DJ275" s="175"/>
      <c r="DK275" s="175"/>
      <c r="DL275" s="175"/>
      <c r="DM275" s="175"/>
      <c r="DN275" s="175"/>
      <c r="DO275" s="175"/>
      <c r="DP275" s="175"/>
      <c r="DQ275" s="175"/>
      <c r="DR275" s="175"/>
      <c r="DS275" s="175"/>
      <c r="DT275" s="175"/>
      <c r="DU275" s="175"/>
      <c r="DV275" s="175"/>
      <c r="DW275" s="175"/>
      <c r="DX275" s="175"/>
      <c r="DY275" s="175"/>
      <c r="DZ275" s="175"/>
      <c r="EA275" s="175"/>
      <c r="EB275" s="175"/>
      <c r="EC275" s="175"/>
      <c r="ED275" s="175"/>
      <c r="EE275" s="175"/>
      <c r="EF275" s="175"/>
      <c r="EG275" s="175"/>
      <c r="EH275" s="175"/>
      <c r="EI275" s="175"/>
      <c r="EJ275" s="175"/>
      <c r="EK275" s="175"/>
      <c r="EL275" s="175"/>
      <c r="EM275" s="175"/>
      <c r="EN275" s="175"/>
      <c r="EO275" s="175"/>
      <c r="EP275" s="175"/>
      <c r="EQ275" s="175"/>
      <c r="ER275" s="175"/>
      <c r="ES275" s="175"/>
      <c r="ET275" s="175"/>
      <c r="EU275" s="175"/>
      <c r="EV275" s="175"/>
      <c r="EW275" s="175"/>
      <c r="EX275" s="175"/>
      <c r="EY275" s="175"/>
      <c r="EZ275" s="175"/>
      <c r="FA275" s="175"/>
      <c r="FB275" s="175"/>
      <c r="FC275" s="175"/>
      <c r="FD275" s="175"/>
      <c r="FE275" s="175"/>
      <c r="FF275" s="175"/>
      <c r="FG275" s="175"/>
      <c r="FH275" s="175"/>
      <c r="FI275" s="175"/>
      <c r="FJ275" s="175"/>
      <c r="FK275" s="175"/>
      <c r="FL275" s="175"/>
      <c r="FM275" s="175"/>
      <c r="FN275" s="175"/>
      <c r="FO275" s="175"/>
      <c r="FP275" s="175"/>
      <c r="FQ275" s="175"/>
      <c r="FR275" s="175"/>
      <c r="FS275" s="175"/>
      <c r="FT275" s="175"/>
      <c r="FU275" s="175"/>
      <c r="FV275" s="175"/>
      <c r="FW275" s="175"/>
      <c r="FX275" s="175"/>
      <c r="FY275" s="175"/>
      <c r="FZ275" s="175"/>
      <c r="GA275" s="175"/>
      <c r="GB275" s="175"/>
      <c r="GC275" s="175"/>
      <c r="GD275" s="175"/>
      <c r="GE275" s="175"/>
      <c r="GF275" s="175"/>
      <c r="GG275" s="175"/>
      <c r="GH275" s="175"/>
      <c r="GI275" s="175"/>
      <c r="GJ275" s="175"/>
      <c r="GK275" s="175"/>
      <c r="GL275" s="175"/>
      <c r="GM275" s="175"/>
      <c r="GN275" s="175"/>
      <c r="GO275" s="175"/>
      <c r="GP275" s="175"/>
      <c r="GQ275" s="175"/>
      <c r="GR275" s="175"/>
      <c r="GS275" s="175"/>
      <c r="GT275" s="175"/>
      <c r="GU275" s="175"/>
      <c r="GV275" s="175"/>
      <c r="GW275" s="175"/>
      <c r="GX275" s="175"/>
      <c r="GY275" s="175"/>
      <c r="GZ275" s="175"/>
      <c r="HA275" s="175"/>
      <c r="HB275" s="175"/>
      <c r="HC275" s="175"/>
      <c r="HD275" s="175"/>
      <c r="HE275" s="175"/>
      <c r="HF275" s="175"/>
      <c r="HG275" s="175"/>
      <c r="HH275" s="175"/>
      <c r="HI275" s="175"/>
      <c r="HJ275" s="175"/>
      <c r="HK275" s="175"/>
      <c r="HL275" s="175"/>
      <c r="HM275" s="175"/>
      <c r="HN275" s="175"/>
      <c r="HO275" s="175"/>
      <c r="HP275" s="175"/>
      <c r="HQ275" s="175"/>
      <c r="HR275" s="175"/>
      <c r="HS275" s="175"/>
      <c r="HT275" s="175"/>
      <c r="HU275" s="175"/>
      <c r="HV275" s="175"/>
      <c r="HW275" s="175"/>
      <c r="HX275" s="175"/>
      <c r="HY275" s="175"/>
      <c r="HZ275" s="175"/>
      <c r="IA275" s="175"/>
      <c r="IB275" s="175"/>
      <c r="IC275" s="175"/>
      <c r="ID275" s="175"/>
      <c r="IE275" s="175"/>
      <c r="IF275" s="175"/>
      <c r="IG275" s="175"/>
      <c r="IH275" s="175"/>
      <c r="II275" s="175"/>
      <c r="IJ275" s="175"/>
      <c r="IK275" s="175"/>
      <c r="IL275" s="175"/>
      <c r="IM275" s="175"/>
      <c r="IN275" s="175"/>
      <c r="IO275" s="175"/>
      <c r="IP275" s="175"/>
      <c r="IQ275" s="175"/>
      <c r="IR275" s="175"/>
      <c r="IS275" s="175"/>
      <c r="IT275" s="175"/>
      <c r="IU275" s="175"/>
      <c r="IV275" s="175"/>
      <c r="IW275" s="175"/>
      <c r="IX275" s="175"/>
      <c r="IY275" s="175"/>
      <c r="IZ275" s="175"/>
      <c r="JA275" s="175"/>
      <c r="JB275" s="175"/>
      <c r="JC275" s="175"/>
      <c r="JD275" s="175"/>
      <c r="JE275" s="175"/>
      <c r="JF275" s="175"/>
      <c r="JG275" s="175"/>
      <c r="JH275" s="175"/>
      <c r="JI275" s="175"/>
      <c r="JJ275" s="175"/>
      <c r="JK275" s="175"/>
      <c r="JL275" s="175"/>
      <c r="JM275" s="175"/>
      <c r="JN275" s="175"/>
      <c r="JO275" s="175"/>
      <c r="JP275" s="175"/>
      <c r="JQ275" s="175"/>
      <c r="JR275" s="175"/>
      <c r="JS275" s="175"/>
      <c r="JT275" s="175"/>
      <c r="JU275" s="175"/>
      <c r="JV275" s="175"/>
      <c r="JW275" s="175"/>
      <c r="JX275" s="175"/>
      <c r="JY275" s="175"/>
      <c r="JZ275" s="175"/>
      <c r="KA275" s="175"/>
      <c r="KB275" s="175"/>
      <c r="KC275" s="175"/>
      <c r="KD275" s="175"/>
      <c r="KE275" s="175"/>
      <c r="KF275" s="175"/>
      <c r="KG275" s="175"/>
      <c r="KH275" s="175"/>
      <c r="KI275" s="175"/>
      <c r="KJ275" s="175"/>
      <c r="KK275" s="175"/>
      <c r="KL275" s="175"/>
      <c r="KM275" s="175"/>
      <c r="KN275" s="175"/>
      <c r="KO275" s="175"/>
      <c r="KP275" s="175"/>
      <c r="KQ275" s="175"/>
      <c r="KR275" s="175"/>
      <c r="KS275" s="175"/>
      <c r="KT275" s="175"/>
      <c r="KU275" s="175"/>
    </row>
    <row r="276" spans="1:307" x14ac:dyDescent="0.2">
      <c r="A276" s="172"/>
      <c r="B276" s="172"/>
      <c r="C276" s="172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  <c r="AZ276" s="172"/>
      <c r="BA276" s="172"/>
      <c r="BB276" s="172"/>
      <c r="BC276" s="172"/>
      <c r="BD276" s="172"/>
      <c r="BE276" s="172"/>
      <c r="BF276" s="172"/>
      <c r="BG276" s="172"/>
      <c r="BH276" s="172"/>
      <c r="BI276" s="172"/>
      <c r="BJ276" s="172"/>
      <c r="BK276" s="172"/>
      <c r="BL276" s="172"/>
      <c r="BM276" s="172"/>
      <c r="BN276" s="172"/>
      <c r="BO276" s="172"/>
      <c r="BP276" s="172"/>
      <c r="BQ276" s="172"/>
      <c r="BR276" s="172"/>
      <c r="BS276" s="172"/>
      <c r="BT276" s="172"/>
      <c r="BU276" s="172"/>
      <c r="BV276" s="172"/>
      <c r="BW276" s="172"/>
      <c r="BX276" s="175"/>
      <c r="BY276" s="175"/>
      <c r="BZ276" s="175"/>
      <c r="CA276" s="175"/>
      <c r="CB276" s="175"/>
      <c r="CC276" s="175"/>
      <c r="CD276" s="175"/>
      <c r="CE276" s="175"/>
      <c r="CF276" s="175"/>
      <c r="CG276" s="175"/>
      <c r="CH276" s="175"/>
      <c r="CI276" s="175"/>
      <c r="CJ276" s="175"/>
      <c r="CK276" s="175"/>
      <c r="CL276" s="175"/>
      <c r="CM276" s="175"/>
      <c r="CN276" s="175"/>
      <c r="CO276" s="175"/>
      <c r="CP276" s="175"/>
      <c r="CQ276" s="175"/>
      <c r="CR276" s="175"/>
      <c r="CS276" s="175"/>
      <c r="CT276" s="175"/>
      <c r="CU276" s="175"/>
      <c r="CV276" s="175"/>
      <c r="CW276" s="175"/>
      <c r="CX276" s="175"/>
      <c r="CY276" s="175"/>
      <c r="CZ276" s="175"/>
      <c r="DA276" s="175"/>
      <c r="DB276" s="175"/>
      <c r="DC276" s="175"/>
      <c r="DD276" s="175"/>
      <c r="DE276" s="175"/>
      <c r="DF276" s="175"/>
      <c r="DG276" s="175"/>
      <c r="DH276" s="175"/>
      <c r="DI276" s="175"/>
      <c r="DJ276" s="175"/>
      <c r="DK276" s="175"/>
      <c r="DL276" s="175"/>
      <c r="DM276" s="175"/>
      <c r="DN276" s="175"/>
      <c r="DO276" s="175"/>
      <c r="DP276" s="175"/>
      <c r="DQ276" s="175"/>
      <c r="DR276" s="175"/>
      <c r="DS276" s="175"/>
      <c r="DT276" s="175"/>
      <c r="DU276" s="175"/>
      <c r="DV276" s="175"/>
      <c r="DW276" s="175"/>
      <c r="DX276" s="175"/>
      <c r="DY276" s="175"/>
      <c r="DZ276" s="175"/>
      <c r="EA276" s="175"/>
      <c r="EB276" s="175"/>
      <c r="EC276" s="175"/>
      <c r="ED276" s="175"/>
      <c r="EE276" s="175"/>
      <c r="EF276" s="175"/>
      <c r="EG276" s="175"/>
      <c r="EH276" s="175"/>
      <c r="EI276" s="175"/>
      <c r="EJ276" s="175"/>
      <c r="EK276" s="175"/>
      <c r="EL276" s="175"/>
      <c r="EM276" s="175"/>
      <c r="EN276" s="175"/>
      <c r="EO276" s="175"/>
      <c r="EP276" s="175"/>
      <c r="EQ276" s="175"/>
      <c r="ER276" s="175"/>
      <c r="ES276" s="175"/>
      <c r="ET276" s="175"/>
      <c r="EU276" s="175"/>
      <c r="EV276" s="175"/>
      <c r="EW276" s="175"/>
      <c r="EX276" s="175"/>
      <c r="EY276" s="175"/>
      <c r="EZ276" s="175"/>
      <c r="FA276" s="175"/>
      <c r="FB276" s="175"/>
      <c r="FC276" s="175"/>
      <c r="FD276" s="175"/>
      <c r="FE276" s="175"/>
      <c r="FF276" s="175"/>
      <c r="FG276" s="175"/>
      <c r="FH276" s="175"/>
      <c r="FI276" s="175"/>
      <c r="FJ276" s="175"/>
      <c r="FK276" s="175"/>
      <c r="FL276" s="175"/>
      <c r="FM276" s="175"/>
      <c r="FN276" s="175"/>
      <c r="FO276" s="175"/>
      <c r="FP276" s="175"/>
      <c r="FQ276" s="175"/>
      <c r="FR276" s="175"/>
      <c r="FS276" s="175"/>
      <c r="FT276" s="175"/>
      <c r="FU276" s="175"/>
      <c r="FV276" s="175"/>
      <c r="FW276" s="175"/>
      <c r="FX276" s="175"/>
      <c r="FY276" s="175"/>
      <c r="FZ276" s="175"/>
      <c r="GA276" s="175"/>
      <c r="GB276" s="175"/>
      <c r="GC276" s="175"/>
      <c r="GD276" s="175"/>
      <c r="GE276" s="175"/>
      <c r="GF276" s="175"/>
      <c r="GG276" s="175"/>
      <c r="GH276" s="175"/>
      <c r="GI276" s="175"/>
      <c r="GJ276" s="175"/>
      <c r="GK276" s="175"/>
      <c r="GL276" s="175"/>
      <c r="GM276" s="175"/>
      <c r="GN276" s="175"/>
      <c r="GO276" s="175"/>
      <c r="GP276" s="175"/>
      <c r="GQ276" s="175"/>
      <c r="GR276" s="175"/>
      <c r="GS276" s="175"/>
      <c r="GT276" s="175"/>
      <c r="GU276" s="175"/>
      <c r="GV276" s="175"/>
      <c r="GW276" s="175"/>
      <c r="GX276" s="175"/>
      <c r="GY276" s="175"/>
      <c r="GZ276" s="175"/>
      <c r="HA276" s="175"/>
      <c r="HB276" s="175"/>
      <c r="HC276" s="175"/>
      <c r="HD276" s="175"/>
      <c r="HE276" s="175"/>
      <c r="HF276" s="175"/>
      <c r="HG276" s="175"/>
      <c r="HH276" s="175"/>
      <c r="HI276" s="175"/>
      <c r="HJ276" s="175"/>
      <c r="HK276" s="175"/>
      <c r="HL276" s="175"/>
      <c r="HM276" s="175"/>
      <c r="HN276" s="175"/>
      <c r="HO276" s="175"/>
      <c r="HP276" s="175"/>
      <c r="HQ276" s="175"/>
      <c r="HR276" s="175"/>
      <c r="HS276" s="175"/>
      <c r="HT276" s="175"/>
      <c r="HU276" s="175"/>
      <c r="HV276" s="175"/>
      <c r="HW276" s="175"/>
      <c r="HX276" s="175"/>
      <c r="HY276" s="175"/>
      <c r="HZ276" s="175"/>
      <c r="IA276" s="175"/>
      <c r="IB276" s="175"/>
      <c r="IC276" s="175"/>
      <c r="ID276" s="175"/>
      <c r="IE276" s="175"/>
      <c r="IF276" s="175"/>
      <c r="IG276" s="175"/>
      <c r="IH276" s="175"/>
      <c r="II276" s="175"/>
      <c r="IJ276" s="175"/>
      <c r="IK276" s="175"/>
      <c r="IL276" s="175"/>
      <c r="IM276" s="175"/>
      <c r="IN276" s="175"/>
      <c r="IO276" s="175"/>
      <c r="IP276" s="175"/>
      <c r="IQ276" s="175"/>
      <c r="IR276" s="175"/>
      <c r="IS276" s="175"/>
      <c r="IT276" s="175"/>
      <c r="IU276" s="175"/>
      <c r="IV276" s="175"/>
      <c r="IW276" s="175"/>
      <c r="IX276" s="175"/>
      <c r="IY276" s="175"/>
      <c r="IZ276" s="175"/>
      <c r="JA276" s="175"/>
      <c r="JB276" s="175"/>
      <c r="JC276" s="175"/>
      <c r="JD276" s="175"/>
      <c r="JE276" s="175"/>
      <c r="JF276" s="175"/>
      <c r="JG276" s="175"/>
      <c r="JH276" s="175"/>
      <c r="JI276" s="175"/>
      <c r="JJ276" s="175"/>
      <c r="JK276" s="175"/>
      <c r="JL276" s="175"/>
      <c r="JM276" s="175"/>
      <c r="JN276" s="175"/>
      <c r="JO276" s="175"/>
      <c r="JP276" s="175"/>
      <c r="JQ276" s="175"/>
      <c r="JR276" s="175"/>
      <c r="JS276" s="175"/>
      <c r="JT276" s="175"/>
      <c r="JU276" s="175"/>
      <c r="JV276" s="175"/>
      <c r="JW276" s="175"/>
      <c r="JX276" s="175"/>
      <c r="JY276" s="175"/>
      <c r="JZ276" s="175"/>
      <c r="KA276" s="175"/>
      <c r="KB276" s="175"/>
      <c r="KC276" s="175"/>
      <c r="KD276" s="175"/>
      <c r="KE276" s="175"/>
      <c r="KF276" s="175"/>
      <c r="KG276" s="175"/>
      <c r="KH276" s="175"/>
      <c r="KI276" s="175"/>
      <c r="KJ276" s="175"/>
      <c r="KK276" s="175"/>
      <c r="KL276" s="175"/>
      <c r="KM276" s="175"/>
      <c r="KN276" s="175"/>
      <c r="KO276" s="175"/>
      <c r="KP276" s="175"/>
      <c r="KQ276" s="175"/>
      <c r="KR276" s="175"/>
      <c r="KS276" s="175"/>
      <c r="KT276" s="175"/>
      <c r="KU276" s="175"/>
    </row>
    <row r="277" spans="1:307" x14ac:dyDescent="0.2">
      <c r="A277" s="172"/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  <c r="AP277" s="172"/>
      <c r="AQ277" s="172"/>
      <c r="AR277" s="172"/>
      <c r="AS277" s="172"/>
      <c r="AT277" s="172"/>
      <c r="AU277" s="172"/>
      <c r="AV277" s="172"/>
      <c r="AW277" s="172"/>
      <c r="AX277" s="172"/>
      <c r="AY277" s="172"/>
      <c r="AZ277" s="172"/>
      <c r="BA277" s="172"/>
      <c r="BB277" s="172"/>
      <c r="BC277" s="172"/>
      <c r="BD277" s="172"/>
      <c r="BE277" s="172"/>
      <c r="BF277" s="172"/>
      <c r="BG277" s="172"/>
      <c r="BH277" s="172"/>
      <c r="BI277" s="172"/>
      <c r="BJ277" s="172"/>
      <c r="BK277" s="172"/>
      <c r="BL277" s="172"/>
      <c r="BM277" s="172"/>
      <c r="BN277" s="172"/>
      <c r="BO277" s="172"/>
      <c r="BP277" s="172"/>
      <c r="BQ277" s="172"/>
      <c r="BR277" s="172"/>
      <c r="BS277" s="172"/>
      <c r="BT277" s="172"/>
      <c r="BU277" s="172"/>
      <c r="BV277" s="172"/>
      <c r="BW277" s="172"/>
      <c r="BX277" s="175"/>
      <c r="BY277" s="175"/>
      <c r="BZ277" s="175"/>
      <c r="CA277" s="175"/>
      <c r="CB277" s="175"/>
      <c r="CC277" s="175"/>
      <c r="CD277" s="175"/>
      <c r="CE277" s="175"/>
      <c r="CF277" s="175"/>
      <c r="CG277" s="175"/>
      <c r="CH277" s="175"/>
      <c r="CI277" s="175"/>
      <c r="CJ277" s="175"/>
      <c r="CK277" s="175"/>
      <c r="CL277" s="175"/>
      <c r="CM277" s="175"/>
      <c r="CN277" s="175"/>
      <c r="CO277" s="175"/>
      <c r="CP277" s="175"/>
      <c r="CQ277" s="175"/>
      <c r="CR277" s="175"/>
      <c r="CS277" s="175"/>
      <c r="CT277" s="175"/>
      <c r="CU277" s="175"/>
      <c r="CV277" s="175"/>
      <c r="CW277" s="175"/>
      <c r="CX277" s="175"/>
      <c r="CY277" s="175"/>
      <c r="CZ277" s="175"/>
      <c r="DA277" s="175"/>
      <c r="DB277" s="175"/>
      <c r="DC277" s="175"/>
      <c r="DD277" s="175"/>
      <c r="DE277" s="175"/>
      <c r="DF277" s="175"/>
      <c r="DG277" s="175"/>
      <c r="DH277" s="175"/>
      <c r="DI277" s="175"/>
      <c r="DJ277" s="175"/>
      <c r="DK277" s="175"/>
      <c r="DL277" s="175"/>
      <c r="DM277" s="175"/>
      <c r="DN277" s="175"/>
      <c r="DO277" s="175"/>
      <c r="DP277" s="175"/>
      <c r="DQ277" s="175"/>
      <c r="DR277" s="175"/>
      <c r="DS277" s="175"/>
      <c r="DT277" s="175"/>
      <c r="DU277" s="175"/>
      <c r="DV277" s="175"/>
      <c r="DW277" s="175"/>
      <c r="DX277" s="175"/>
      <c r="DY277" s="175"/>
      <c r="DZ277" s="175"/>
      <c r="EA277" s="175"/>
      <c r="EB277" s="175"/>
      <c r="EC277" s="175"/>
      <c r="ED277" s="175"/>
      <c r="EE277" s="175"/>
      <c r="EF277" s="175"/>
      <c r="EG277" s="175"/>
      <c r="EH277" s="175"/>
      <c r="EI277" s="175"/>
      <c r="EJ277" s="175"/>
      <c r="EK277" s="175"/>
      <c r="EL277" s="175"/>
      <c r="EM277" s="175"/>
      <c r="EN277" s="175"/>
      <c r="EO277" s="175"/>
      <c r="EP277" s="175"/>
      <c r="EQ277" s="175"/>
      <c r="ER277" s="175"/>
      <c r="ES277" s="175"/>
      <c r="ET277" s="175"/>
      <c r="EU277" s="175"/>
      <c r="EV277" s="175"/>
      <c r="EW277" s="175"/>
      <c r="EX277" s="175"/>
      <c r="EY277" s="175"/>
      <c r="EZ277" s="175"/>
      <c r="FA277" s="175"/>
      <c r="FB277" s="175"/>
      <c r="FC277" s="175"/>
      <c r="FD277" s="175"/>
      <c r="FE277" s="175"/>
      <c r="FF277" s="175"/>
      <c r="FG277" s="175"/>
      <c r="FH277" s="175"/>
      <c r="FI277" s="175"/>
      <c r="FJ277" s="175"/>
      <c r="FK277" s="175"/>
      <c r="FL277" s="175"/>
      <c r="FM277" s="175"/>
      <c r="FN277" s="175"/>
      <c r="FO277" s="175"/>
      <c r="FP277" s="175"/>
      <c r="FQ277" s="175"/>
      <c r="FR277" s="175"/>
      <c r="FS277" s="175"/>
      <c r="FT277" s="175"/>
      <c r="FU277" s="175"/>
      <c r="FV277" s="175"/>
      <c r="FW277" s="175"/>
      <c r="FX277" s="175"/>
      <c r="FY277" s="175"/>
      <c r="FZ277" s="175"/>
      <c r="GA277" s="175"/>
      <c r="GB277" s="175"/>
      <c r="GC277" s="175"/>
      <c r="GD277" s="175"/>
      <c r="GE277" s="175"/>
      <c r="GF277" s="175"/>
      <c r="GG277" s="175"/>
      <c r="GH277" s="175"/>
      <c r="GI277" s="175"/>
      <c r="GJ277" s="175"/>
      <c r="GK277" s="175"/>
      <c r="GL277" s="175"/>
      <c r="GM277" s="175"/>
      <c r="GN277" s="175"/>
      <c r="GO277" s="175"/>
      <c r="GP277" s="175"/>
      <c r="GQ277" s="175"/>
      <c r="GR277" s="175"/>
      <c r="GS277" s="175"/>
      <c r="GT277" s="175"/>
      <c r="GU277" s="175"/>
      <c r="GV277" s="175"/>
      <c r="GW277" s="175"/>
      <c r="GX277" s="175"/>
      <c r="GY277" s="175"/>
      <c r="GZ277" s="175"/>
      <c r="HA277" s="175"/>
      <c r="HB277" s="175"/>
      <c r="HC277" s="175"/>
      <c r="HD277" s="175"/>
      <c r="HE277" s="175"/>
      <c r="HF277" s="175"/>
      <c r="HG277" s="175"/>
      <c r="HH277" s="175"/>
      <c r="HI277" s="175"/>
      <c r="HJ277" s="175"/>
      <c r="HK277" s="175"/>
      <c r="HL277" s="175"/>
      <c r="HM277" s="175"/>
      <c r="HN277" s="175"/>
      <c r="HO277" s="175"/>
      <c r="HP277" s="175"/>
      <c r="HQ277" s="175"/>
      <c r="HR277" s="175"/>
      <c r="HS277" s="175"/>
      <c r="HT277" s="175"/>
      <c r="HU277" s="175"/>
      <c r="HV277" s="175"/>
      <c r="HW277" s="175"/>
      <c r="HX277" s="175"/>
      <c r="HY277" s="175"/>
      <c r="HZ277" s="175"/>
      <c r="IA277" s="175"/>
      <c r="IB277" s="175"/>
      <c r="IC277" s="175"/>
      <c r="ID277" s="175"/>
      <c r="IE277" s="175"/>
      <c r="IF277" s="175"/>
      <c r="IG277" s="175"/>
      <c r="IH277" s="175"/>
      <c r="II277" s="175"/>
      <c r="IJ277" s="175"/>
      <c r="IK277" s="175"/>
      <c r="IL277" s="175"/>
      <c r="IM277" s="175"/>
      <c r="IN277" s="175"/>
      <c r="IO277" s="175"/>
      <c r="IP277" s="175"/>
      <c r="IQ277" s="175"/>
      <c r="IR277" s="175"/>
      <c r="IS277" s="175"/>
      <c r="IT277" s="175"/>
      <c r="IU277" s="175"/>
      <c r="IV277" s="175"/>
      <c r="IW277" s="175"/>
      <c r="IX277" s="175"/>
      <c r="IY277" s="175"/>
      <c r="IZ277" s="175"/>
      <c r="JA277" s="175"/>
      <c r="JB277" s="175"/>
      <c r="JC277" s="175"/>
      <c r="JD277" s="175"/>
      <c r="JE277" s="175"/>
      <c r="JF277" s="175"/>
      <c r="JG277" s="175"/>
      <c r="JH277" s="175"/>
      <c r="JI277" s="175"/>
      <c r="JJ277" s="175"/>
      <c r="JK277" s="175"/>
      <c r="JL277" s="175"/>
      <c r="JM277" s="175"/>
      <c r="JN277" s="175"/>
      <c r="JO277" s="175"/>
      <c r="JP277" s="175"/>
      <c r="JQ277" s="175"/>
      <c r="JR277" s="175"/>
      <c r="JS277" s="175"/>
      <c r="JT277" s="175"/>
      <c r="JU277" s="175"/>
      <c r="JV277" s="175"/>
      <c r="JW277" s="175"/>
      <c r="JX277" s="175"/>
      <c r="JY277" s="175"/>
      <c r="JZ277" s="175"/>
      <c r="KA277" s="175"/>
      <c r="KB277" s="175"/>
      <c r="KC277" s="175"/>
      <c r="KD277" s="175"/>
      <c r="KE277" s="175"/>
      <c r="KF277" s="175"/>
      <c r="KG277" s="175"/>
      <c r="KH277" s="175"/>
      <c r="KI277" s="175"/>
      <c r="KJ277" s="175"/>
      <c r="KK277" s="175"/>
      <c r="KL277" s="175"/>
      <c r="KM277" s="175"/>
      <c r="KN277" s="175"/>
      <c r="KO277" s="175"/>
      <c r="KP277" s="175"/>
      <c r="KQ277" s="175"/>
      <c r="KR277" s="175"/>
      <c r="KS277" s="175"/>
      <c r="KT277" s="175"/>
      <c r="KU277" s="175"/>
    </row>
    <row r="278" spans="1:307" x14ac:dyDescent="0.2">
      <c r="A278" s="172"/>
      <c r="B278" s="172"/>
      <c r="C278" s="172"/>
      <c r="D278" s="172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  <c r="AR278" s="172"/>
      <c r="AS278" s="172"/>
      <c r="AT278" s="172"/>
      <c r="AU278" s="172"/>
      <c r="AV278" s="172"/>
      <c r="AW278" s="172"/>
      <c r="AX278" s="172"/>
      <c r="AY278" s="172"/>
      <c r="AZ278" s="172"/>
      <c r="BA278" s="172"/>
      <c r="BB278" s="172"/>
      <c r="BC278" s="172"/>
      <c r="BD278" s="172"/>
      <c r="BE278" s="172"/>
      <c r="BF278" s="172"/>
      <c r="BG278" s="172"/>
      <c r="BH278" s="172"/>
      <c r="BI278" s="172"/>
      <c r="BJ278" s="172"/>
      <c r="BK278" s="172"/>
      <c r="BL278" s="172"/>
      <c r="BM278" s="172"/>
      <c r="BN278" s="172"/>
      <c r="BO278" s="172"/>
      <c r="BP278" s="172"/>
      <c r="BQ278" s="172"/>
      <c r="BR278" s="172"/>
      <c r="BS278" s="172"/>
      <c r="BT278" s="172"/>
      <c r="BU278" s="172"/>
      <c r="BV278" s="172"/>
      <c r="BW278" s="172"/>
      <c r="BX278" s="175"/>
      <c r="BY278" s="175"/>
      <c r="BZ278" s="175"/>
      <c r="CA278" s="175"/>
      <c r="CB278" s="175"/>
      <c r="CC278" s="175"/>
      <c r="CD278" s="175"/>
      <c r="CE278" s="175"/>
      <c r="CF278" s="175"/>
      <c r="CG278" s="175"/>
      <c r="CH278" s="175"/>
      <c r="CI278" s="175"/>
      <c r="CJ278" s="175"/>
      <c r="CK278" s="175"/>
      <c r="CL278" s="175"/>
      <c r="CM278" s="175"/>
      <c r="CN278" s="175"/>
      <c r="CO278" s="175"/>
      <c r="CP278" s="175"/>
      <c r="CQ278" s="175"/>
      <c r="CR278" s="175"/>
      <c r="CS278" s="175"/>
      <c r="CT278" s="175"/>
      <c r="CU278" s="175"/>
      <c r="CV278" s="175"/>
      <c r="CW278" s="175"/>
      <c r="CX278" s="175"/>
      <c r="CY278" s="175"/>
      <c r="CZ278" s="175"/>
      <c r="DA278" s="175"/>
      <c r="DB278" s="175"/>
      <c r="DC278" s="175"/>
      <c r="DD278" s="175"/>
      <c r="DE278" s="175"/>
      <c r="DF278" s="175"/>
      <c r="DG278" s="175"/>
      <c r="DH278" s="175"/>
      <c r="DI278" s="175"/>
      <c r="DJ278" s="175"/>
      <c r="DK278" s="175"/>
      <c r="DL278" s="175"/>
      <c r="DM278" s="175"/>
      <c r="DN278" s="175"/>
      <c r="DO278" s="175"/>
      <c r="DP278" s="175"/>
      <c r="DQ278" s="175"/>
      <c r="DR278" s="175"/>
      <c r="DS278" s="175"/>
      <c r="DT278" s="175"/>
      <c r="DU278" s="175"/>
      <c r="DV278" s="175"/>
      <c r="DW278" s="175"/>
      <c r="DX278" s="175"/>
      <c r="DY278" s="175"/>
      <c r="DZ278" s="175"/>
      <c r="EA278" s="175"/>
      <c r="EB278" s="175"/>
      <c r="EC278" s="175"/>
      <c r="ED278" s="175"/>
      <c r="EE278" s="175"/>
      <c r="EF278" s="175"/>
      <c r="EG278" s="175"/>
      <c r="EH278" s="175"/>
      <c r="EI278" s="175"/>
      <c r="EJ278" s="175"/>
      <c r="EK278" s="175"/>
      <c r="EL278" s="175"/>
      <c r="EM278" s="175"/>
      <c r="EN278" s="175"/>
      <c r="EO278" s="175"/>
      <c r="EP278" s="175"/>
      <c r="EQ278" s="175"/>
      <c r="ER278" s="175"/>
      <c r="ES278" s="175"/>
      <c r="ET278" s="175"/>
      <c r="EU278" s="175"/>
      <c r="EV278" s="175"/>
      <c r="EW278" s="175"/>
      <c r="EX278" s="175"/>
      <c r="EY278" s="175"/>
      <c r="EZ278" s="175"/>
      <c r="FA278" s="175"/>
      <c r="FB278" s="175"/>
      <c r="FC278" s="175"/>
      <c r="FD278" s="175"/>
      <c r="FE278" s="175"/>
      <c r="FF278" s="175"/>
      <c r="FG278" s="175"/>
      <c r="FH278" s="175"/>
      <c r="FI278" s="175"/>
      <c r="FJ278" s="175"/>
      <c r="FK278" s="175"/>
      <c r="FL278" s="175"/>
      <c r="FM278" s="175"/>
      <c r="FN278" s="175"/>
      <c r="FO278" s="175"/>
      <c r="FP278" s="175"/>
      <c r="FQ278" s="175"/>
      <c r="FR278" s="175"/>
      <c r="FS278" s="175"/>
      <c r="FT278" s="175"/>
      <c r="FU278" s="175"/>
      <c r="FV278" s="175"/>
      <c r="FW278" s="175"/>
      <c r="FX278" s="175"/>
      <c r="FY278" s="175"/>
      <c r="FZ278" s="175"/>
      <c r="GA278" s="175"/>
      <c r="GB278" s="175"/>
      <c r="GC278" s="175"/>
      <c r="GD278" s="175"/>
      <c r="GE278" s="175"/>
      <c r="GF278" s="175"/>
      <c r="GG278" s="175"/>
      <c r="GH278" s="175"/>
      <c r="GI278" s="175"/>
      <c r="GJ278" s="175"/>
      <c r="GK278" s="175"/>
      <c r="GL278" s="175"/>
      <c r="GM278" s="175"/>
      <c r="GN278" s="175"/>
      <c r="GO278" s="175"/>
      <c r="GP278" s="175"/>
      <c r="GQ278" s="175"/>
      <c r="GR278" s="175"/>
      <c r="GS278" s="175"/>
      <c r="GT278" s="175"/>
      <c r="GU278" s="175"/>
      <c r="GV278" s="175"/>
      <c r="GW278" s="175"/>
      <c r="GX278" s="175"/>
      <c r="GY278" s="175"/>
      <c r="GZ278" s="175"/>
      <c r="HA278" s="175"/>
      <c r="HB278" s="175"/>
      <c r="HC278" s="175"/>
      <c r="HD278" s="175"/>
      <c r="HE278" s="175"/>
      <c r="HF278" s="175"/>
      <c r="HG278" s="175"/>
      <c r="HH278" s="175"/>
      <c r="HI278" s="175"/>
      <c r="HJ278" s="175"/>
      <c r="HK278" s="175"/>
      <c r="HL278" s="175"/>
      <c r="HM278" s="175"/>
      <c r="HN278" s="175"/>
      <c r="HO278" s="175"/>
      <c r="HP278" s="175"/>
      <c r="HQ278" s="175"/>
      <c r="HR278" s="175"/>
      <c r="HS278" s="175"/>
      <c r="HT278" s="175"/>
      <c r="HU278" s="175"/>
      <c r="HV278" s="175"/>
      <c r="HW278" s="175"/>
      <c r="HX278" s="175"/>
      <c r="HY278" s="175"/>
      <c r="HZ278" s="175"/>
      <c r="IA278" s="175"/>
      <c r="IB278" s="175"/>
      <c r="IC278" s="175"/>
      <c r="ID278" s="175"/>
      <c r="IE278" s="175"/>
      <c r="IF278" s="175"/>
      <c r="IG278" s="175"/>
      <c r="IH278" s="175"/>
      <c r="II278" s="175"/>
      <c r="IJ278" s="175"/>
      <c r="IK278" s="175"/>
      <c r="IL278" s="175"/>
      <c r="IM278" s="175"/>
      <c r="IN278" s="175"/>
      <c r="IO278" s="175"/>
      <c r="IP278" s="175"/>
      <c r="IQ278" s="175"/>
      <c r="IR278" s="175"/>
      <c r="IS278" s="175"/>
      <c r="IT278" s="175"/>
      <c r="IU278" s="175"/>
      <c r="IV278" s="175"/>
      <c r="IW278" s="175"/>
      <c r="IX278" s="175"/>
      <c r="IY278" s="175"/>
      <c r="IZ278" s="175"/>
      <c r="JA278" s="175"/>
      <c r="JB278" s="175"/>
      <c r="JC278" s="175"/>
      <c r="JD278" s="175"/>
      <c r="JE278" s="175"/>
      <c r="JF278" s="175"/>
      <c r="JG278" s="175"/>
      <c r="JH278" s="175"/>
      <c r="JI278" s="175"/>
      <c r="JJ278" s="175"/>
      <c r="JK278" s="175"/>
      <c r="JL278" s="175"/>
      <c r="JM278" s="175"/>
      <c r="JN278" s="175"/>
      <c r="JO278" s="175"/>
      <c r="JP278" s="175"/>
      <c r="JQ278" s="175"/>
      <c r="JR278" s="175"/>
      <c r="JS278" s="175"/>
      <c r="JT278" s="175"/>
      <c r="JU278" s="175"/>
      <c r="JV278" s="175"/>
      <c r="JW278" s="175"/>
      <c r="JX278" s="175"/>
      <c r="JY278" s="175"/>
      <c r="JZ278" s="175"/>
      <c r="KA278" s="175"/>
      <c r="KB278" s="175"/>
      <c r="KC278" s="175"/>
      <c r="KD278" s="175"/>
      <c r="KE278" s="175"/>
      <c r="KF278" s="175"/>
      <c r="KG278" s="175"/>
      <c r="KH278" s="175"/>
      <c r="KI278" s="175"/>
      <c r="KJ278" s="175"/>
      <c r="KK278" s="175"/>
      <c r="KL278" s="175"/>
      <c r="KM278" s="175"/>
      <c r="KN278" s="175"/>
      <c r="KO278" s="175"/>
      <c r="KP278" s="175"/>
      <c r="KQ278" s="175"/>
      <c r="KR278" s="175"/>
      <c r="KS278" s="175"/>
      <c r="KT278" s="175"/>
      <c r="KU278" s="175"/>
    </row>
    <row r="279" spans="1:307" x14ac:dyDescent="0.2">
      <c r="A279" s="172"/>
      <c r="B279" s="172"/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2"/>
      <c r="AT279" s="172"/>
      <c r="AU279" s="172"/>
      <c r="AV279" s="172"/>
      <c r="AW279" s="172"/>
      <c r="AX279" s="172"/>
      <c r="AY279" s="172"/>
      <c r="AZ279" s="172"/>
      <c r="BA279" s="172"/>
      <c r="BB279" s="172"/>
      <c r="BC279" s="172"/>
      <c r="BD279" s="172"/>
      <c r="BE279" s="172"/>
      <c r="BF279" s="172"/>
      <c r="BG279" s="172"/>
      <c r="BH279" s="172"/>
      <c r="BI279" s="172"/>
      <c r="BJ279" s="172"/>
      <c r="BK279" s="172"/>
      <c r="BL279" s="172"/>
      <c r="BM279" s="172"/>
      <c r="BN279" s="172"/>
      <c r="BO279" s="172"/>
      <c r="BP279" s="172"/>
      <c r="BQ279" s="172"/>
      <c r="BR279" s="172"/>
      <c r="BS279" s="172"/>
      <c r="BT279" s="172"/>
      <c r="BU279" s="172"/>
      <c r="BV279" s="172"/>
      <c r="BW279" s="172"/>
      <c r="BX279" s="175"/>
      <c r="BY279" s="175"/>
      <c r="BZ279" s="175"/>
      <c r="CA279" s="175"/>
      <c r="CB279" s="175"/>
      <c r="CC279" s="175"/>
      <c r="CD279" s="175"/>
      <c r="CE279" s="175"/>
      <c r="CF279" s="175"/>
      <c r="CG279" s="175"/>
      <c r="CH279" s="175"/>
      <c r="CI279" s="175"/>
      <c r="CJ279" s="175"/>
      <c r="CK279" s="175"/>
      <c r="CL279" s="175"/>
      <c r="CM279" s="175"/>
      <c r="CN279" s="175"/>
      <c r="CO279" s="175"/>
      <c r="CP279" s="175"/>
      <c r="CQ279" s="175"/>
      <c r="CR279" s="175"/>
      <c r="CS279" s="175"/>
      <c r="CT279" s="175"/>
      <c r="CU279" s="175"/>
      <c r="CV279" s="175"/>
      <c r="CW279" s="175"/>
      <c r="CX279" s="175"/>
      <c r="CY279" s="175"/>
      <c r="CZ279" s="175"/>
      <c r="DA279" s="175"/>
      <c r="DB279" s="175"/>
      <c r="DC279" s="175"/>
      <c r="DD279" s="175"/>
      <c r="DE279" s="175"/>
      <c r="DF279" s="175"/>
      <c r="DG279" s="175"/>
      <c r="DH279" s="175"/>
      <c r="DI279" s="175"/>
      <c r="DJ279" s="175"/>
      <c r="DK279" s="175"/>
      <c r="DL279" s="175"/>
      <c r="DM279" s="175"/>
      <c r="DN279" s="175"/>
      <c r="DO279" s="175"/>
      <c r="DP279" s="175"/>
      <c r="DQ279" s="175"/>
      <c r="DR279" s="175"/>
      <c r="DS279" s="175"/>
      <c r="DT279" s="175"/>
      <c r="DU279" s="175"/>
      <c r="DV279" s="175"/>
      <c r="DW279" s="175"/>
      <c r="DX279" s="175"/>
      <c r="DY279" s="175"/>
      <c r="DZ279" s="175"/>
      <c r="EA279" s="175"/>
      <c r="EB279" s="175"/>
      <c r="EC279" s="175"/>
      <c r="ED279" s="175"/>
      <c r="EE279" s="175"/>
      <c r="EF279" s="175"/>
      <c r="EG279" s="175"/>
      <c r="EH279" s="175"/>
      <c r="EI279" s="175"/>
      <c r="EJ279" s="175"/>
      <c r="EK279" s="175"/>
      <c r="EL279" s="175"/>
      <c r="EM279" s="175"/>
      <c r="EN279" s="175"/>
      <c r="EO279" s="175"/>
      <c r="EP279" s="175"/>
      <c r="EQ279" s="175"/>
      <c r="ER279" s="175"/>
      <c r="ES279" s="175"/>
      <c r="ET279" s="175"/>
      <c r="EU279" s="175"/>
      <c r="EV279" s="175"/>
      <c r="EW279" s="175"/>
      <c r="EX279" s="175"/>
      <c r="EY279" s="175"/>
      <c r="EZ279" s="175"/>
      <c r="FA279" s="175"/>
      <c r="FB279" s="175"/>
      <c r="FC279" s="175"/>
      <c r="FD279" s="175"/>
      <c r="FE279" s="175"/>
      <c r="FF279" s="175"/>
      <c r="FG279" s="175"/>
      <c r="FH279" s="175"/>
      <c r="FI279" s="175"/>
      <c r="FJ279" s="175"/>
      <c r="FK279" s="175"/>
      <c r="FL279" s="175"/>
      <c r="FM279" s="175"/>
      <c r="FN279" s="175"/>
      <c r="FO279" s="175"/>
      <c r="FP279" s="175"/>
      <c r="FQ279" s="175"/>
      <c r="FR279" s="175"/>
      <c r="FS279" s="175"/>
      <c r="FT279" s="175"/>
      <c r="FU279" s="175"/>
      <c r="FV279" s="175"/>
      <c r="FW279" s="175"/>
      <c r="FX279" s="175"/>
      <c r="FY279" s="175"/>
      <c r="FZ279" s="175"/>
      <c r="GA279" s="175"/>
      <c r="GB279" s="175"/>
      <c r="GC279" s="175"/>
      <c r="GD279" s="175"/>
      <c r="GE279" s="175"/>
      <c r="GF279" s="175"/>
      <c r="GG279" s="175"/>
      <c r="GH279" s="175"/>
      <c r="GI279" s="175"/>
      <c r="GJ279" s="175"/>
      <c r="GK279" s="175"/>
      <c r="GL279" s="175"/>
      <c r="GM279" s="175"/>
      <c r="GN279" s="175"/>
      <c r="GO279" s="175"/>
      <c r="GP279" s="175"/>
      <c r="GQ279" s="175"/>
      <c r="GR279" s="175"/>
      <c r="GS279" s="175"/>
      <c r="GT279" s="175"/>
      <c r="GU279" s="175"/>
      <c r="GV279" s="175"/>
      <c r="GW279" s="175"/>
      <c r="GX279" s="175"/>
      <c r="GY279" s="175"/>
      <c r="GZ279" s="175"/>
      <c r="HA279" s="175"/>
      <c r="HB279" s="175"/>
      <c r="HC279" s="175"/>
      <c r="HD279" s="175"/>
      <c r="HE279" s="175"/>
      <c r="HF279" s="175"/>
      <c r="HG279" s="175"/>
      <c r="HH279" s="175"/>
      <c r="HI279" s="175"/>
      <c r="HJ279" s="175"/>
      <c r="HK279" s="175"/>
      <c r="HL279" s="175"/>
      <c r="HM279" s="175"/>
      <c r="HN279" s="175"/>
      <c r="HO279" s="175"/>
      <c r="HP279" s="175"/>
      <c r="HQ279" s="175"/>
      <c r="HR279" s="175"/>
      <c r="HS279" s="175"/>
      <c r="HT279" s="175"/>
      <c r="HU279" s="175"/>
      <c r="HV279" s="175"/>
      <c r="HW279" s="175"/>
      <c r="HX279" s="175"/>
      <c r="HY279" s="175"/>
      <c r="HZ279" s="175"/>
      <c r="IA279" s="175"/>
      <c r="IB279" s="175"/>
      <c r="IC279" s="175"/>
      <c r="ID279" s="175"/>
      <c r="IE279" s="175"/>
      <c r="IF279" s="175"/>
      <c r="IG279" s="175"/>
      <c r="IH279" s="175"/>
      <c r="II279" s="175"/>
      <c r="IJ279" s="175"/>
      <c r="IK279" s="175"/>
      <c r="IL279" s="175"/>
      <c r="IM279" s="175"/>
      <c r="IN279" s="175"/>
      <c r="IO279" s="175"/>
      <c r="IP279" s="175"/>
      <c r="IQ279" s="175"/>
      <c r="IR279" s="175"/>
      <c r="IS279" s="175"/>
      <c r="IT279" s="175"/>
      <c r="IU279" s="175"/>
      <c r="IV279" s="175"/>
      <c r="IW279" s="175"/>
      <c r="IX279" s="175"/>
      <c r="IY279" s="175"/>
      <c r="IZ279" s="175"/>
      <c r="JA279" s="175"/>
      <c r="JB279" s="175"/>
      <c r="JC279" s="175"/>
      <c r="JD279" s="175"/>
      <c r="JE279" s="175"/>
      <c r="JF279" s="175"/>
      <c r="JG279" s="175"/>
      <c r="JH279" s="175"/>
      <c r="JI279" s="175"/>
      <c r="JJ279" s="175"/>
      <c r="JK279" s="175"/>
      <c r="JL279" s="175"/>
      <c r="JM279" s="175"/>
      <c r="JN279" s="175"/>
      <c r="JO279" s="175"/>
      <c r="JP279" s="175"/>
      <c r="JQ279" s="175"/>
      <c r="JR279" s="175"/>
      <c r="JS279" s="175"/>
      <c r="JT279" s="175"/>
      <c r="JU279" s="175"/>
      <c r="JV279" s="175"/>
      <c r="JW279" s="175"/>
      <c r="JX279" s="175"/>
      <c r="JY279" s="175"/>
      <c r="JZ279" s="175"/>
      <c r="KA279" s="175"/>
      <c r="KB279" s="175"/>
      <c r="KC279" s="175"/>
      <c r="KD279" s="175"/>
      <c r="KE279" s="175"/>
      <c r="KF279" s="175"/>
      <c r="KG279" s="175"/>
      <c r="KH279" s="175"/>
      <c r="KI279" s="175"/>
      <c r="KJ279" s="175"/>
      <c r="KK279" s="175"/>
      <c r="KL279" s="175"/>
      <c r="KM279" s="175"/>
      <c r="KN279" s="175"/>
      <c r="KO279" s="175"/>
      <c r="KP279" s="175"/>
      <c r="KQ279" s="175"/>
      <c r="KR279" s="175"/>
      <c r="KS279" s="175"/>
      <c r="KT279" s="175"/>
      <c r="KU279" s="175"/>
    </row>
    <row r="280" spans="1:307" x14ac:dyDescent="0.2">
      <c r="A280" s="172"/>
      <c r="B280" s="172"/>
      <c r="C280" s="172"/>
      <c r="D280" s="172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  <c r="AP280" s="172"/>
      <c r="AQ280" s="172"/>
      <c r="AR280" s="172"/>
      <c r="AS280" s="172"/>
      <c r="AT280" s="172"/>
      <c r="AU280" s="172"/>
      <c r="AV280" s="172"/>
      <c r="AW280" s="172"/>
      <c r="AX280" s="172"/>
      <c r="AY280" s="172"/>
      <c r="AZ280" s="172"/>
      <c r="BA280" s="172"/>
      <c r="BB280" s="172"/>
      <c r="BC280" s="172"/>
      <c r="BD280" s="172"/>
      <c r="BE280" s="172"/>
      <c r="BF280" s="172"/>
      <c r="BG280" s="172"/>
      <c r="BH280" s="172"/>
      <c r="BI280" s="172"/>
      <c r="BJ280" s="172"/>
      <c r="BK280" s="172"/>
      <c r="BL280" s="172"/>
      <c r="BM280" s="172"/>
      <c r="BN280" s="172"/>
      <c r="BO280" s="172"/>
      <c r="BP280" s="172"/>
      <c r="BQ280" s="172"/>
      <c r="BR280" s="172"/>
      <c r="BS280" s="172"/>
      <c r="BT280" s="172"/>
      <c r="BU280" s="172"/>
      <c r="BV280" s="172"/>
      <c r="BW280" s="172"/>
      <c r="BX280" s="175"/>
      <c r="BY280" s="175"/>
      <c r="BZ280" s="175"/>
      <c r="CA280" s="175"/>
      <c r="CB280" s="175"/>
      <c r="CC280" s="175"/>
      <c r="CD280" s="175"/>
      <c r="CE280" s="175"/>
      <c r="CF280" s="175"/>
      <c r="CG280" s="175"/>
      <c r="CH280" s="175"/>
      <c r="CI280" s="175"/>
      <c r="CJ280" s="175"/>
      <c r="CK280" s="175"/>
      <c r="CL280" s="175"/>
      <c r="CM280" s="175"/>
      <c r="CN280" s="175"/>
      <c r="CO280" s="175"/>
      <c r="CP280" s="175"/>
      <c r="CQ280" s="175"/>
      <c r="CR280" s="175"/>
      <c r="CS280" s="175"/>
      <c r="CT280" s="175"/>
      <c r="CU280" s="175"/>
      <c r="CV280" s="175"/>
      <c r="CW280" s="175"/>
      <c r="CX280" s="175"/>
      <c r="CY280" s="175"/>
      <c r="CZ280" s="175"/>
      <c r="DA280" s="175"/>
      <c r="DB280" s="175"/>
      <c r="DC280" s="175"/>
      <c r="DD280" s="175"/>
      <c r="DE280" s="175"/>
      <c r="DF280" s="175"/>
      <c r="DG280" s="175"/>
      <c r="DH280" s="175"/>
      <c r="DI280" s="175"/>
      <c r="DJ280" s="175"/>
      <c r="DK280" s="175"/>
      <c r="DL280" s="175"/>
      <c r="DM280" s="175"/>
      <c r="DN280" s="175"/>
      <c r="DO280" s="175"/>
      <c r="DP280" s="175"/>
      <c r="DQ280" s="175"/>
      <c r="DR280" s="175"/>
      <c r="DS280" s="175"/>
      <c r="DT280" s="175"/>
      <c r="DU280" s="175"/>
      <c r="DV280" s="175"/>
      <c r="DW280" s="175"/>
      <c r="DX280" s="175"/>
      <c r="DY280" s="175"/>
      <c r="DZ280" s="175"/>
      <c r="EA280" s="175"/>
      <c r="EB280" s="175"/>
      <c r="EC280" s="175"/>
      <c r="ED280" s="175"/>
      <c r="EE280" s="175"/>
      <c r="EF280" s="175"/>
      <c r="EG280" s="175"/>
      <c r="EH280" s="175"/>
      <c r="EI280" s="175"/>
      <c r="EJ280" s="175"/>
      <c r="EK280" s="175"/>
      <c r="EL280" s="175"/>
      <c r="EM280" s="175"/>
      <c r="EN280" s="175"/>
      <c r="EO280" s="175"/>
      <c r="EP280" s="175"/>
      <c r="EQ280" s="175"/>
      <c r="ER280" s="175"/>
      <c r="ES280" s="175"/>
      <c r="ET280" s="175"/>
      <c r="EU280" s="175"/>
      <c r="EV280" s="175"/>
      <c r="EW280" s="175"/>
      <c r="EX280" s="175"/>
      <c r="EY280" s="175"/>
      <c r="EZ280" s="175"/>
      <c r="FA280" s="175"/>
      <c r="FB280" s="175"/>
      <c r="FC280" s="175"/>
      <c r="FD280" s="175"/>
      <c r="FE280" s="175"/>
      <c r="FF280" s="175"/>
      <c r="FG280" s="175"/>
      <c r="FH280" s="175"/>
      <c r="FI280" s="175"/>
      <c r="FJ280" s="175"/>
      <c r="FK280" s="175"/>
      <c r="FL280" s="175"/>
      <c r="FM280" s="175"/>
      <c r="FN280" s="175"/>
      <c r="FO280" s="175"/>
      <c r="FP280" s="175"/>
      <c r="FQ280" s="175"/>
      <c r="FR280" s="175"/>
      <c r="FS280" s="175"/>
      <c r="FT280" s="175"/>
      <c r="FU280" s="175"/>
      <c r="FV280" s="175"/>
      <c r="FW280" s="175"/>
      <c r="FX280" s="175"/>
      <c r="FY280" s="175"/>
      <c r="FZ280" s="175"/>
      <c r="GA280" s="175"/>
      <c r="GB280" s="175"/>
      <c r="GC280" s="175"/>
      <c r="GD280" s="175"/>
      <c r="GE280" s="175"/>
      <c r="GF280" s="175"/>
      <c r="GG280" s="175"/>
      <c r="GH280" s="175"/>
      <c r="GI280" s="175"/>
      <c r="GJ280" s="175"/>
      <c r="GK280" s="175"/>
      <c r="GL280" s="175"/>
      <c r="GM280" s="175"/>
      <c r="GN280" s="175"/>
      <c r="GO280" s="175"/>
      <c r="GP280" s="175"/>
      <c r="GQ280" s="175"/>
      <c r="GR280" s="175"/>
      <c r="GS280" s="175"/>
      <c r="GT280" s="175"/>
      <c r="GU280" s="175"/>
      <c r="GV280" s="175"/>
      <c r="GW280" s="175"/>
      <c r="GX280" s="175"/>
      <c r="GY280" s="175"/>
      <c r="GZ280" s="175"/>
      <c r="HA280" s="175"/>
      <c r="HB280" s="175"/>
      <c r="HC280" s="175"/>
      <c r="HD280" s="175"/>
      <c r="HE280" s="175"/>
      <c r="HF280" s="175"/>
      <c r="HG280" s="175"/>
      <c r="HH280" s="175"/>
      <c r="HI280" s="175"/>
      <c r="HJ280" s="175"/>
      <c r="HK280" s="175"/>
      <c r="HL280" s="175"/>
      <c r="HM280" s="175"/>
      <c r="HN280" s="175"/>
      <c r="HO280" s="175"/>
      <c r="HP280" s="175"/>
      <c r="HQ280" s="175"/>
      <c r="HR280" s="175"/>
      <c r="HS280" s="175"/>
      <c r="HT280" s="175"/>
      <c r="HU280" s="175"/>
      <c r="HV280" s="175"/>
      <c r="HW280" s="175"/>
      <c r="HX280" s="175"/>
      <c r="HY280" s="175"/>
      <c r="HZ280" s="175"/>
      <c r="IA280" s="175"/>
      <c r="IB280" s="175"/>
      <c r="IC280" s="175"/>
      <c r="ID280" s="175"/>
      <c r="IE280" s="175"/>
      <c r="IF280" s="175"/>
      <c r="IG280" s="175"/>
      <c r="IH280" s="175"/>
      <c r="II280" s="175"/>
      <c r="IJ280" s="175"/>
      <c r="IK280" s="175"/>
      <c r="IL280" s="175"/>
      <c r="IM280" s="175"/>
      <c r="IN280" s="175"/>
      <c r="IO280" s="175"/>
      <c r="IP280" s="175"/>
      <c r="IQ280" s="175"/>
      <c r="IR280" s="175"/>
      <c r="IS280" s="175"/>
      <c r="IT280" s="175"/>
      <c r="IU280" s="175"/>
      <c r="IV280" s="175"/>
      <c r="IW280" s="175"/>
      <c r="IX280" s="175"/>
      <c r="IY280" s="175"/>
      <c r="IZ280" s="175"/>
      <c r="JA280" s="175"/>
      <c r="JB280" s="175"/>
      <c r="JC280" s="175"/>
      <c r="JD280" s="175"/>
      <c r="JE280" s="175"/>
      <c r="JF280" s="175"/>
      <c r="JG280" s="175"/>
      <c r="JH280" s="175"/>
      <c r="JI280" s="175"/>
      <c r="JJ280" s="175"/>
      <c r="JK280" s="175"/>
      <c r="JL280" s="175"/>
      <c r="JM280" s="175"/>
      <c r="JN280" s="175"/>
      <c r="JO280" s="175"/>
      <c r="JP280" s="175"/>
      <c r="JQ280" s="175"/>
      <c r="JR280" s="175"/>
      <c r="JS280" s="175"/>
      <c r="JT280" s="175"/>
      <c r="JU280" s="175"/>
      <c r="JV280" s="175"/>
      <c r="JW280" s="175"/>
      <c r="JX280" s="175"/>
      <c r="JY280" s="175"/>
      <c r="JZ280" s="175"/>
      <c r="KA280" s="175"/>
      <c r="KB280" s="175"/>
      <c r="KC280" s="175"/>
      <c r="KD280" s="175"/>
      <c r="KE280" s="175"/>
      <c r="KF280" s="175"/>
      <c r="KG280" s="175"/>
      <c r="KH280" s="175"/>
      <c r="KI280" s="175"/>
      <c r="KJ280" s="175"/>
      <c r="KK280" s="175"/>
      <c r="KL280" s="175"/>
      <c r="KM280" s="175"/>
      <c r="KN280" s="175"/>
      <c r="KO280" s="175"/>
      <c r="KP280" s="175"/>
      <c r="KQ280" s="175"/>
      <c r="KR280" s="175"/>
      <c r="KS280" s="175"/>
      <c r="KT280" s="175"/>
      <c r="KU280" s="175"/>
    </row>
    <row r="281" spans="1:307" x14ac:dyDescent="0.2">
      <c r="A281" s="172"/>
      <c r="B281" s="172"/>
      <c r="C281" s="172"/>
      <c r="D281" s="172"/>
      <c r="E281" s="172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  <c r="AP281" s="172"/>
      <c r="AQ281" s="172"/>
      <c r="AR281" s="172"/>
      <c r="AS281" s="172"/>
      <c r="AT281" s="172"/>
      <c r="AU281" s="172"/>
      <c r="AV281" s="172"/>
      <c r="AW281" s="172"/>
      <c r="AX281" s="172"/>
      <c r="AY281" s="172"/>
      <c r="AZ281" s="172"/>
      <c r="BA281" s="172"/>
      <c r="BB281" s="172"/>
      <c r="BC281" s="172"/>
      <c r="BD281" s="172"/>
      <c r="BE281" s="172"/>
      <c r="BF281" s="172"/>
      <c r="BG281" s="172"/>
      <c r="BH281" s="172"/>
      <c r="BI281" s="172"/>
      <c r="BJ281" s="172"/>
      <c r="BK281" s="172"/>
      <c r="BL281" s="172"/>
      <c r="BM281" s="172"/>
      <c r="BN281" s="172"/>
      <c r="BO281" s="172"/>
      <c r="BP281" s="172"/>
      <c r="BQ281" s="172"/>
      <c r="BR281" s="172"/>
      <c r="BS281" s="172"/>
      <c r="BT281" s="172"/>
      <c r="BU281" s="172"/>
      <c r="BV281" s="172"/>
      <c r="BW281" s="172"/>
      <c r="BX281" s="175"/>
      <c r="BY281" s="175"/>
      <c r="BZ281" s="175"/>
      <c r="CA281" s="175"/>
      <c r="CB281" s="175"/>
      <c r="CC281" s="175"/>
      <c r="CD281" s="175"/>
      <c r="CE281" s="175"/>
      <c r="CF281" s="175"/>
      <c r="CG281" s="175"/>
      <c r="CH281" s="175"/>
      <c r="CI281" s="175"/>
      <c r="CJ281" s="175"/>
      <c r="CK281" s="175"/>
      <c r="CL281" s="175"/>
      <c r="CM281" s="175"/>
      <c r="CN281" s="175"/>
      <c r="CO281" s="175"/>
      <c r="CP281" s="175"/>
      <c r="CQ281" s="175"/>
      <c r="CR281" s="175"/>
      <c r="CS281" s="175"/>
      <c r="CT281" s="175"/>
      <c r="CU281" s="175"/>
      <c r="CV281" s="175"/>
      <c r="CW281" s="175"/>
      <c r="CX281" s="175"/>
      <c r="CY281" s="175"/>
      <c r="CZ281" s="175"/>
      <c r="DA281" s="175"/>
      <c r="DB281" s="175"/>
      <c r="DC281" s="175"/>
      <c r="DD281" s="175"/>
      <c r="DE281" s="175"/>
      <c r="DF281" s="175"/>
      <c r="DG281" s="175"/>
      <c r="DH281" s="175"/>
      <c r="DI281" s="175"/>
      <c r="DJ281" s="175"/>
      <c r="DK281" s="175"/>
      <c r="DL281" s="175"/>
      <c r="DM281" s="175"/>
      <c r="DN281" s="175"/>
      <c r="DO281" s="175"/>
      <c r="DP281" s="175"/>
      <c r="DQ281" s="175"/>
      <c r="DR281" s="175"/>
      <c r="DS281" s="175"/>
      <c r="DT281" s="175"/>
      <c r="DU281" s="175"/>
      <c r="DV281" s="175"/>
      <c r="DW281" s="175"/>
      <c r="DX281" s="175"/>
      <c r="DY281" s="175"/>
      <c r="DZ281" s="175"/>
      <c r="EA281" s="175"/>
      <c r="EB281" s="175"/>
      <c r="EC281" s="175"/>
      <c r="ED281" s="175"/>
      <c r="EE281" s="175"/>
      <c r="EF281" s="175"/>
      <c r="EG281" s="175"/>
      <c r="EH281" s="175"/>
      <c r="EI281" s="175"/>
      <c r="EJ281" s="175"/>
      <c r="EK281" s="175"/>
      <c r="EL281" s="175"/>
      <c r="EM281" s="175"/>
      <c r="EN281" s="175"/>
      <c r="EO281" s="175"/>
      <c r="EP281" s="175"/>
      <c r="EQ281" s="175"/>
      <c r="ER281" s="175"/>
      <c r="ES281" s="175"/>
      <c r="ET281" s="175"/>
      <c r="EU281" s="175"/>
      <c r="EV281" s="175"/>
      <c r="EW281" s="175"/>
      <c r="EX281" s="175"/>
      <c r="EY281" s="175"/>
      <c r="EZ281" s="175"/>
      <c r="FA281" s="175"/>
      <c r="FB281" s="175"/>
      <c r="FC281" s="175"/>
      <c r="FD281" s="175"/>
      <c r="FE281" s="175"/>
      <c r="FF281" s="175"/>
      <c r="FG281" s="175"/>
      <c r="FH281" s="175"/>
      <c r="FI281" s="175"/>
      <c r="FJ281" s="175"/>
      <c r="FK281" s="175"/>
      <c r="FL281" s="175"/>
      <c r="FM281" s="175"/>
      <c r="FN281" s="175"/>
      <c r="FO281" s="175"/>
      <c r="FP281" s="175"/>
      <c r="FQ281" s="175"/>
      <c r="FR281" s="175"/>
      <c r="FS281" s="175"/>
      <c r="FT281" s="175"/>
      <c r="FU281" s="175"/>
      <c r="FV281" s="175"/>
      <c r="FW281" s="175"/>
      <c r="FX281" s="175"/>
      <c r="FY281" s="175"/>
      <c r="FZ281" s="175"/>
      <c r="GA281" s="175"/>
      <c r="GB281" s="175"/>
      <c r="GC281" s="175"/>
      <c r="GD281" s="175"/>
      <c r="GE281" s="175"/>
      <c r="GF281" s="175"/>
      <c r="GG281" s="175"/>
      <c r="GH281" s="175"/>
      <c r="GI281" s="175"/>
      <c r="GJ281" s="175"/>
      <c r="GK281" s="175"/>
      <c r="GL281" s="175"/>
      <c r="GM281" s="175"/>
      <c r="GN281" s="175"/>
      <c r="GO281" s="175"/>
      <c r="GP281" s="175"/>
      <c r="GQ281" s="175"/>
      <c r="GR281" s="175"/>
      <c r="GS281" s="175"/>
      <c r="GT281" s="175"/>
      <c r="GU281" s="175"/>
      <c r="GV281" s="175"/>
      <c r="GW281" s="175"/>
      <c r="GX281" s="175"/>
      <c r="GY281" s="175"/>
      <c r="GZ281" s="175"/>
      <c r="HA281" s="175"/>
      <c r="HB281" s="175"/>
      <c r="HC281" s="175"/>
      <c r="HD281" s="175"/>
      <c r="HE281" s="175"/>
      <c r="HF281" s="175"/>
      <c r="HG281" s="175"/>
      <c r="HH281" s="175"/>
      <c r="HI281" s="175"/>
      <c r="HJ281" s="175"/>
      <c r="HK281" s="175"/>
      <c r="HL281" s="175"/>
      <c r="HM281" s="175"/>
      <c r="HN281" s="175"/>
      <c r="HO281" s="175"/>
      <c r="HP281" s="175"/>
      <c r="HQ281" s="175"/>
      <c r="HR281" s="175"/>
      <c r="HS281" s="175"/>
      <c r="HT281" s="175"/>
      <c r="HU281" s="175"/>
      <c r="HV281" s="175"/>
      <c r="HW281" s="175"/>
      <c r="HX281" s="175"/>
      <c r="HY281" s="175"/>
      <c r="HZ281" s="175"/>
      <c r="IA281" s="175"/>
      <c r="IB281" s="175"/>
      <c r="IC281" s="175"/>
      <c r="ID281" s="175"/>
      <c r="IE281" s="175"/>
      <c r="IF281" s="175"/>
      <c r="IG281" s="175"/>
      <c r="IH281" s="175"/>
      <c r="II281" s="175"/>
      <c r="IJ281" s="175"/>
      <c r="IK281" s="175"/>
      <c r="IL281" s="175"/>
      <c r="IM281" s="175"/>
      <c r="IN281" s="175"/>
      <c r="IO281" s="175"/>
      <c r="IP281" s="175"/>
      <c r="IQ281" s="175"/>
      <c r="IR281" s="175"/>
      <c r="IS281" s="175"/>
      <c r="IT281" s="175"/>
      <c r="IU281" s="175"/>
      <c r="IV281" s="175"/>
      <c r="IW281" s="175"/>
      <c r="IX281" s="175"/>
      <c r="IY281" s="175"/>
      <c r="IZ281" s="175"/>
      <c r="JA281" s="175"/>
      <c r="JB281" s="175"/>
      <c r="JC281" s="175"/>
      <c r="JD281" s="175"/>
      <c r="JE281" s="175"/>
      <c r="JF281" s="175"/>
      <c r="JG281" s="175"/>
      <c r="JH281" s="175"/>
      <c r="JI281" s="175"/>
      <c r="JJ281" s="175"/>
      <c r="JK281" s="175"/>
      <c r="JL281" s="175"/>
      <c r="JM281" s="175"/>
      <c r="JN281" s="175"/>
      <c r="JO281" s="175"/>
      <c r="JP281" s="175"/>
      <c r="JQ281" s="175"/>
      <c r="JR281" s="175"/>
      <c r="JS281" s="175"/>
      <c r="JT281" s="175"/>
      <c r="JU281" s="175"/>
      <c r="JV281" s="175"/>
      <c r="JW281" s="175"/>
      <c r="JX281" s="175"/>
      <c r="JY281" s="175"/>
      <c r="JZ281" s="175"/>
      <c r="KA281" s="175"/>
      <c r="KB281" s="175"/>
      <c r="KC281" s="175"/>
      <c r="KD281" s="175"/>
      <c r="KE281" s="175"/>
      <c r="KF281" s="175"/>
      <c r="KG281" s="175"/>
      <c r="KH281" s="175"/>
      <c r="KI281" s="175"/>
      <c r="KJ281" s="175"/>
      <c r="KK281" s="175"/>
      <c r="KL281" s="175"/>
      <c r="KM281" s="175"/>
      <c r="KN281" s="175"/>
      <c r="KO281" s="175"/>
      <c r="KP281" s="175"/>
      <c r="KQ281" s="175"/>
      <c r="KR281" s="175"/>
      <c r="KS281" s="175"/>
      <c r="KT281" s="175"/>
      <c r="KU281" s="175"/>
    </row>
    <row r="282" spans="1:307" x14ac:dyDescent="0.2">
      <c r="A282" s="172"/>
      <c r="B282" s="172"/>
      <c r="C282" s="172"/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  <c r="AP282" s="172"/>
      <c r="AQ282" s="172"/>
      <c r="AR282" s="172"/>
      <c r="AS282" s="172"/>
      <c r="AT282" s="172"/>
      <c r="AU282" s="172"/>
      <c r="AV282" s="172"/>
      <c r="AW282" s="172"/>
      <c r="AX282" s="172"/>
      <c r="AY282" s="172"/>
      <c r="AZ282" s="172"/>
      <c r="BA282" s="172"/>
      <c r="BB282" s="172"/>
      <c r="BC282" s="172"/>
      <c r="BD282" s="172"/>
      <c r="BE282" s="172"/>
      <c r="BF282" s="172"/>
      <c r="BG282" s="172"/>
      <c r="BH282" s="172"/>
      <c r="BI282" s="172"/>
      <c r="BJ282" s="172"/>
      <c r="BK282" s="172"/>
      <c r="BL282" s="172"/>
      <c r="BM282" s="172"/>
      <c r="BN282" s="172"/>
      <c r="BO282" s="172"/>
      <c r="BP282" s="172"/>
      <c r="BQ282" s="172"/>
      <c r="BR282" s="172"/>
      <c r="BS282" s="172"/>
      <c r="BT282" s="172"/>
      <c r="BU282" s="172"/>
      <c r="BV282" s="172"/>
      <c r="BW282" s="172"/>
      <c r="BX282" s="175"/>
      <c r="BY282" s="175"/>
      <c r="BZ282" s="175"/>
      <c r="CA282" s="175"/>
      <c r="CB282" s="175"/>
      <c r="CC282" s="175"/>
      <c r="CD282" s="175"/>
      <c r="CE282" s="175"/>
      <c r="CF282" s="175"/>
      <c r="CG282" s="175"/>
      <c r="CH282" s="175"/>
      <c r="CI282" s="175"/>
      <c r="CJ282" s="175"/>
      <c r="CK282" s="175"/>
      <c r="CL282" s="175"/>
      <c r="CM282" s="175"/>
      <c r="CN282" s="175"/>
      <c r="CO282" s="175"/>
      <c r="CP282" s="175"/>
      <c r="CQ282" s="175"/>
      <c r="CR282" s="175"/>
      <c r="CS282" s="175"/>
      <c r="CT282" s="175"/>
      <c r="CU282" s="175"/>
      <c r="CV282" s="175"/>
      <c r="CW282" s="175"/>
      <c r="CX282" s="175"/>
      <c r="CY282" s="175"/>
      <c r="CZ282" s="175"/>
      <c r="DA282" s="175"/>
      <c r="DB282" s="175"/>
      <c r="DC282" s="175"/>
      <c r="DD282" s="175"/>
      <c r="DE282" s="175"/>
      <c r="DF282" s="175"/>
      <c r="DG282" s="175"/>
      <c r="DH282" s="175"/>
      <c r="DI282" s="175"/>
      <c r="DJ282" s="175"/>
      <c r="DK282" s="175"/>
      <c r="DL282" s="175"/>
      <c r="DM282" s="175"/>
      <c r="DN282" s="175"/>
      <c r="DO282" s="175"/>
      <c r="DP282" s="175"/>
      <c r="DQ282" s="175"/>
      <c r="DR282" s="175"/>
      <c r="DS282" s="175"/>
      <c r="DT282" s="175"/>
      <c r="DU282" s="175"/>
      <c r="DV282" s="175"/>
      <c r="DW282" s="175"/>
      <c r="DX282" s="175"/>
      <c r="DY282" s="175"/>
      <c r="DZ282" s="175"/>
      <c r="EA282" s="175"/>
      <c r="EB282" s="175"/>
      <c r="EC282" s="175"/>
      <c r="ED282" s="175"/>
      <c r="EE282" s="175"/>
      <c r="EF282" s="175"/>
      <c r="EG282" s="175"/>
      <c r="EH282" s="175"/>
      <c r="EI282" s="175"/>
      <c r="EJ282" s="175"/>
      <c r="EK282" s="175"/>
      <c r="EL282" s="175"/>
      <c r="EM282" s="175"/>
      <c r="EN282" s="175"/>
      <c r="EO282" s="175"/>
      <c r="EP282" s="175"/>
      <c r="EQ282" s="175"/>
      <c r="ER282" s="175"/>
      <c r="ES282" s="175"/>
      <c r="ET282" s="175"/>
      <c r="EU282" s="175"/>
      <c r="EV282" s="175"/>
      <c r="EW282" s="175"/>
      <c r="EX282" s="175"/>
      <c r="EY282" s="175"/>
      <c r="EZ282" s="175"/>
      <c r="FA282" s="175"/>
      <c r="FB282" s="175"/>
      <c r="FC282" s="175"/>
      <c r="FD282" s="175"/>
      <c r="FE282" s="175"/>
      <c r="FF282" s="175"/>
      <c r="FG282" s="175"/>
      <c r="FH282" s="175"/>
      <c r="FI282" s="175"/>
      <c r="FJ282" s="175"/>
      <c r="FK282" s="175"/>
      <c r="FL282" s="175"/>
      <c r="FM282" s="175"/>
      <c r="FN282" s="175"/>
      <c r="FO282" s="175"/>
      <c r="FP282" s="175"/>
      <c r="FQ282" s="175"/>
      <c r="FR282" s="175"/>
      <c r="FS282" s="175"/>
      <c r="FT282" s="175"/>
      <c r="FU282" s="175"/>
      <c r="FV282" s="175"/>
      <c r="FW282" s="175"/>
      <c r="FX282" s="175"/>
      <c r="FY282" s="175"/>
      <c r="FZ282" s="175"/>
      <c r="GA282" s="175"/>
      <c r="GB282" s="175"/>
      <c r="GC282" s="175"/>
      <c r="GD282" s="175"/>
      <c r="GE282" s="175"/>
      <c r="GF282" s="175"/>
      <c r="GG282" s="175"/>
      <c r="GH282" s="175"/>
      <c r="GI282" s="175"/>
      <c r="GJ282" s="175"/>
      <c r="GK282" s="175"/>
      <c r="GL282" s="175"/>
      <c r="GM282" s="175"/>
      <c r="GN282" s="175"/>
      <c r="GO282" s="175"/>
      <c r="GP282" s="175"/>
      <c r="GQ282" s="175"/>
      <c r="GR282" s="175"/>
      <c r="GS282" s="175"/>
      <c r="GT282" s="175"/>
      <c r="GU282" s="175"/>
      <c r="GV282" s="175"/>
      <c r="GW282" s="175"/>
      <c r="GX282" s="175"/>
      <c r="GY282" s="175"/>
      <c r="GZ282" s="175"/>
      <c r="HA282" s="175"/>
      <c r="HB282" s="175"/>
      <c r="HC282" s="175"/>
      <c r="HD282" s="175"/>
      <c r="HE282" s="175"/>
      <c r="HF282" s="175"/>
      <c r="HG282" s="175"/>
      <c r="HH282" s="175"/>
      <c r="HI282" s="175"/>
      <c r="HJ282" s="175"/>
      <c r="HK282" s="175"/>
      <c r="HL282" s="175"/>
      <c r="HM282" s="175"/>
      <c r="HN282" s="175"/>
      <c r="HO282" s="175"/>
      <c r="HP282" s="175"/>
      <c r="HQ282" s="175"/>
      <c r="HR282" s="175"/>
      <c r="HS282" s="175"/>
      <c r="HT282" s="175"/>
      <c r="HU282" s="175"/>
      <c r="HV282" s="175"/>
      <c r="HW282" s="175"/>
      <c r="HX282" s="175"/>
      <c r="HY282" s="175"/>
      <c r="HZ282" s="175"/>
      <c r="IA282" s="175"/>
      <c r="IB282" s="175"/>
      <c r="IC282" s="175"/>
      <c r="ID282" s="175"/>
      <c r="IE282" s="175"/>
      <c r="IF282" s="175"/>
      <c r="IG282" s="175"/>
      <c r="IH282" s="175"/>
      <c r="II282" s="175"/>
      <c r="IJ282" s="175"/>
      <c r="IK282" s="175"/>
      <c r="IL282" s="175"/>
      <c r="IM282" s="175"/>
      <c r="IN282" s="175"/>
      <c r="IO282" s="175"/>
      <c r="IP282" s="175"/>
      <c r="IQ282" s="175"/>
      <c r="IR282" s="175"/>
      <c r="IS282" s="175"/>
      <c r="IT282" s="175"/>
      <c r="IU282" s="175"/>
      <c r="IV282" s="175"/>
      <c r="IW282" s="175"/>
      <c r="IX282" s="175"/>
      <c r="IY282" s="175"/>
      <c r="IZ282" s="175"/>
      <c r="JA282" s="175"/>
      <c r="JB282" s="175"/>
      <c r="JC282" s="175"/>
      <c r="JD282" s="175"/>
      <c r="JE282" s="175"/>
      <c r="JF282" s="175"/>
      <c r="JG282" s="175"/>
      <c r="JH282" s="175"/>
      <c r="JI282" s="175"/>
      <c r="JJ282" s="175"/>
      <c r="JK282" s="175"/>
      <c r="JL282" s="175"/>
      <c r="JM282" s="175"/>
      <c r="JN282" s="175"/>
      <c r="JO282" s="175"/>
      <c r="JP282" s="175"/>
      <c r="JQ282" s="175"/>
      <c r="JR282" s="175"/>
      <c r="JS282" s="175"/>
      <c r="JT282" s="175"/>
      <c r="JU282" s="175"/>
      <c r="JV282" s="175"/>
      <c r="JW282" s="175"/>
      <c r="JX282" s="175"/>
      <c r="JY282" s="175"/>
      <c r="JZ282" s="175"/>
      <c r="KA282" s="175"/>
      <c r="KB282" s="175"/>
      <c r="KC282" s="175"/>
      <c r="KD282" s="175"/>
      <c r="KE282" s="175"/>
      <c r="KF282" s="175"/>
      <c r="KG282" s="175"/>
      <c r="KH282" s="175"/>
      <c r="KI282" s="175"/>
      <c r="KJ282" s="175"/>
      <c r="KK282" s="175"/>
      <c r="KL282" s="175"/>
      <c r="KM282" s="175"/>
      <c r="KN282" s="175"/>
      <c r="KO282" s="175"/>
      <c r="KP282" s="175"/>
      <c r="KQ282" s="175"/>
      <c r="KR282" s="175"/>
      <c r="KS282" s="175"/>
      <c r="KT282" s="175"/>
      <c r="KU282" s="175"/>
    </row>
    <row r="283" spans="1:307" x14ac:dyDescent="0.2">
      <c r="A283" s="172"/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  <c r="AR283" s="172"/>
      <c r="AS283" s="172"/>
      <c r="AT283" s="172"/>
      <c r="AU283" s="172"/>
      <c r="AV283" s="172"/>
      <c r="AW283" s="172"/>
      <c r="AX283" s="172"/>
      <c r="AY283" s="172"/>
      <c r="AZ283" s="172"/>
      <c r="BA283" s="172"/>
      <c r="BB283" s="172"/>
      <c r="BC283" s="172"/>
      <c r="BD283" s="172"/>
      <c r="BE283" s="172"/>
      <c r="BF283" s="172"/>
      <c r="BG283" s="172"/>
      <c r="BH283" s="172"/>
      <c r="BI283" s="172"/>
      <c r="BJ283" s="172"/>
      <c r="BK283" s="172"/>
      <c r="BL283" s="172"/>
      <c r="BM283" s="172"/>
      <c r="BN283" s="172"/>
      <c r="BO283" s="172"/>
      <c r="BP283" s="172"/>
      <c r="BQ283" s="172"/>
      <c r="BR283" s="172"/>
      <c r="BS283" s="172"/>
      <c r="BT283" s="172"/>
      <c r="BU283" s="172"/>
      <c r="BV283" s="172"/>
      <c r="BW283" s="172"/>
      <c r="BX283" s="175"/>
      <c r="BY283" s="175"/>
      <c r="BZ283" s="175"/>
      <c r="CA283" s="175"/>
      <c r="CB283" s="175"/>
      <c r="CC283" s="175"/>
      <c r="CD283" s="175"/>
      <c r="CE283" s="175"/>
      <c r="CF283" s="175"/>
      <c r="CG283" s="175"/>
      <c r="CH283" s="175"/>
      <c r="CI283" s="175"/>
      <c r="CJ283" s="175"/>
      <c r="CK283" s="175"/>
      <c r="CL283" s="175"/>
      <c r="CM283" s="175"/>
      <c r="CN283" s="175"/>
      <c r="CO283" s="175"/>
      <c r="CP283" s="175"/>
      <c r="CQ283" s="175"/>
      <c r="CR283" s="175"/>
      <c r="CS283" s="175"/>
      <c r="CT283" s="175"/>
      <c r="CU283" s="175"/>
      <c r="CV283" s="175"/>
      <c r="CW283" s="175"/>
      <c r="CX283" s="175"/>
      <c r="CY283" s="175"/>
      <c r="CZ283" s="175"/>
      <c r="DA283" s="175"/>
      <c r="DB283" s="175"/>
      <c r="DC283" s="175"/>
      <c r="DD283" s="175"/>
      <c r="DE283" s="175"/>
      <c r="DF283" s="175"/>
      <c r="DG283" s="175"/>
      <c r="DH283" s="175"/>
      <c r="DI283" s="175"/>
      <c r="DJ283" s="175"/>
      <c r="DK283" s="175"/>
      <c r="DL283" s="175"/>
      <c r="DM283" s="175"/>
      <c r="DN283" s="175"/>
      <c r="DO283" s="175"/>
      <c r="DP283" s="175"/>
      <c r="DQ283" s="175"/>
      <c r="DR283" s="175"/>
      <c r="DS283" s="175"/>
      <c r="DT283" s="175"/>
      <c r="DU283" s="175"/>
      <c r="DV283" s="175"/>
      <c r="DW283" s="175"/>
      <c r="DX283" s="175"/>
      <c r="DY283" s="175"/>
      <c r="DZ283" s="175"/>
      <c r="EA283" s="175"/>
      <c r="EB283" s="175"/>
      <c r="EC283" s="175"/>
      <c r="ED283" s="175"/>
      <c r="EE283" s="175"/>
      <c r="EF283" s="175"/>
      <c r="EG283" s="175"/>
      <c r="EH283" s="175"/>
      <c r="EI283" s="175"/>
      <c r="EJ283" s="175"/>
      <c r="EK283" s="175"/>
      <c r="EL283" s="175"/>
      <c r="EM283" s="175"/>
      <c r="EN283" s="175"/>
      <c r="EO283" s="175"/>
      <c r="EP283" s="175"/>
      <c r="EQ283" s="175"/>
      <c r="ER283" s="175"/>
      <c r="ES283" s="175"/>
      <c r="ET283" s="175"/>
      <c r="EU283" s="175"/>
      <c r="EV283" s="175"/>
      <c r="EW283" s="175"/>
      <c r="EX283" s="175"/>
      <c r="EY283" s="175"/>
      <c r="EZ283" s="175"/>
      <c r="FA283" s="175"/>
      <c r="FB283" s="175"/>
      <c r="FC283" s="175"/>
      <c r="FD283" s="175"/>
      <c r="FE283" s="175"/>
      <c r="FF283" s="175"/>
      <c r="FG283" s="175"/>
      <c r="FH283" s="175"/>
      <c r="FI283" s="175"/>
      <c r="FJ283" s="175"/>
      <c r="FK283" s="175"/>
      <c r="FL283" s="175"/>
      <c r="FM283" s="175"/>
      <c r="FN283" s="175"/>
      <c r="FO283" s="175"/>
      <c r="FP283" s="175"/>
      <c r="FQ283" s="175"/>
      <c r="FR283" s="175"/>
      <c r="FS283" s="175"/>
      <c r="FT283" s="175"/>
      <c r="FU283" s="175"/>
      <c r="FV283" s="175"/>
      <c r="FW283" s="175"/>
      <c r="FX283" s="175"/>
      <c r="FY283" s="175"/>
      <c r="FZ283" s="175"/>
      <c r="GA283" s="175"/>
      <c r="GB283" s="175"/>
      <c r="GC283" s="175"/>
      <c r="GD283" s="175"/>
      <c r="GE283" s="175"/>
      <c r="GF283" s="175"/>
      <c r="GG283" s="175"/>
      <c r="GH283" s="175"/>
      <c r="GI283" s="175"/>
      <c r="GJ283" s="175"/>
      <c r="GK283" s="175"/>
      <c r="GL283" s="175"/>
      <c r="GM283" s="175"/>
      <c r="GN283" s="175"/>
      <c r="GO283" s="175"/>
      <c r="GP283" s="175"/>
      <c r="GQ283" s="175"/>
      <c r="GR283" s="175"/>
      <c r="GS283" s="175"/>
      <c r="GT283" s="175"/>
      <c r="GU283" s="175"/>
      <c r="GV283" s="175"/>
      <c r="GW283" s="175"/>
      <c r="GX283" s="175"/>
      <c r="GY283" s="175"/>
      <c r="GZ283" s="175"/>
      <c r="HA283" s="175"/>
      <c r="HB283" s="175"/>
      <c r="HC283" s="175"/>
      <c r="HD283" s="175"/>
      <c r="HE283" s="175"/>
      <c r="HF283" s="175"/>
      <c r="HG283" s="175"/>
      <c r="HH283" s="175"/>
      <c r="HI283" s="175"/>
      <c r="HJ283" s="175"/>
      <c r="HK283" s="175"/>
      <c r="HL283" s="175"/>
      <c r="HM283" s="175"/>
      <c r="HN283" s="175"/>
      <c r="HO283" s="175"/>
      <c r="HP283" s="175"/>
      <c r="HQ283" s="175"/>
      <c r="HR283" s="175"/>
      <c r="HS283" s="175"/>
      <c r="HT283" s="175"/>
      <c r="HU283" s="175"/>
      <c r="HV283" s="175"/>
      <c r="HW283" s="175"/>
      <c r="HX283" s="175"/>
      <c r="HY283" s="175"/>
      <c r="HZ283" s="175"/>
      <c r="IA283" s="175"/>
      <c r="IB283" s="175"/>
      <c r="IC283" s="175"/>
      <c r="ID283" s="175"/>
      <c r="IE283" s="175"/>
      <c r="IF283" s="175"/>
      <c r="IG283" s="175"/>
      <c r="IH283" s="175"/>
      <c r="II283" s="175"/>
      <c r="IJ283" s="175"/>
      <c r="IK283" s="175"/>
      <c r="IL283" s="175"/>
      <c r="IM283" s="175"/>
      <c r="IN283" s="175"/>
      <c r="IO283" s="175"/>
      <c r="IP283" s="175"/>
      <c r="IQ283" s="175"/>
      <c r="IR283" s="175"/>
      <c r="IS283" s="175"/>
      <c r="IT283" s="175"/>
      <c r="IU283" s="175"/>
      <c r="IV283" s="175"/>
      <c r="IW283" s="175"/>
      <c r="IX283" s="175"/>
      <c r="IY283" s="175"/>
      <c r="IZ283" s="175"/>
      <c r="JA283" s="175"/>
      <c r="JB283" s="175"/>
      <c r="JC283" s="175"/>
      <c r="JD283" s="175"/>
      <c r="JE283" s="175"/>
      <c r="JF283" s="175"/>
      <c r="JG283" s="175"/>
      <c r="JH283" s="175"/>
      <c r="JI283" s="175"/>
      <c r="JJ283" s="175"/>
      <c r="JK283" s="175"/>
      <c r="JL283" s="175"/>
      <c r="JM283" s="175"/>
      <c r="JN283" s="175"/>
      <c r="JO283" s="175"/>
      <c r="JP283" s="175"/>
      <c r="JQ283" s="175"/>
      <c r="JR283" s="175"/>
      <c r="JS283" s="175"/>
      <c r="JT283" s="175"/>
      <c r="JU283" s="175"/>
      <c r="JV283" s="175"/>
      <c r="JW283" s="175"/>
      <c r="JX283" s="175"/>
      <c r="JY283" s="175"/>
      <c r="JZ283" s="175"/>
      <c r="KA283" s="175"/>
      <c r="KB283" s="175"/>
      <c r="KC283" s="175"/>
      <c r="KD283" s="175"/>
      <c r="KE283" s="175"/>
      <c r="KF283" s="175"/>
      <c r="KG283" s="175"/>
      <c r="KH283" s="175"/>
      <c r="KI283" s="175"/>
      <c r="KJ283" s="175"/>
      <c r="KK283" s="175"/>
      <c r="KL283" s="175"/>
      <c r="KM283" s="175"/>
      <c r="KN283" s="175"/>
      <c r="KO283" s="175"/>
      <c r="KP283" s="175"/>
      <c r="KQ283" s="175"/>
      <c r="KR283" s="175"/>
      <c r="KS283" s="175"/>
      <c r="KT283" s="175"/>
      <c r="KU283" s="175"/>
    </row>
    <row r="284" spans="1:307" x14ac:dyDescent="0.2">
      <c r="A284" s="172"/>
      <c r="B284" s="172"/>
      <c r="C284" s="172"/>
      <c r="D284" s="17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  <c r="BE284" s="172"/>
      <c r="BF284" s="172"/>
      <c r="BG284" s="172"/>
      <c r="BH284" s="172"/>
      <c r="BI284" s="172"/>
      <c r="BJ284" s="172"/>
      <c r="BK284" s="172"/>
      <c r="BL284" s="172"/>
      <c r="BM284" s="172"/>
      <c r="BN284" s="172"/>
      <c r="BO284" s="172"/>
      <c r="BP284" s="172"/>
      <c r="BQ284" s="172"/>
      <c r="BR284" s="172"/>
      <c r="BS284" s="172"/>
      <c r="BT284" s="172"/>
      <c r="BU284" s="172"/>
      <c r="BV284" s="172"/>
      <c r="BW284" s="172"/>
      <c r="BX284" s="175"/>
      <c r="BY284" s="175"/>
      <c r="BZ284" s="175"/>
      <c r="CA284" s="175"/>
      <c r="CB284" s="175"/>
      <c r="CC284" s="175"/>
      <c r="CD284" s="175"/>
      <c r="CE284" s="175"/>
      <c r="CF284" s="175"/>
      <c r="CG284" s="175"/>
      <c r="CH284" s="175"/>
      <c r="CI284" s="175"/>
      <c r="CJ284" s="175"/>
      <c r="CK284" s="175"/>
      <c r="CL284" s="175"/>
      <c r="CM284" s="175"/>
      <c r="CN284" s="175"/>
      <c r="CO284" s="175"/>
      <c r="CP284" s="175"/>
      <c r="CQ284" s="175"/>
      <c r="CR284" s="175"/>
      <c r="CS284" s="175"/>
      <c r="CT284" s="175"/>
      <c r="CU284" s="175"/>
      <c r="CV284" s="175"/>
      <c r="CW284" s="175"/>
      <c r="CX284" s="175"/>
      <c r="CY284" s="175"/>
      <c r="CZ284" s="175"/>
      <c r="DA284" s="175"/>
      <c r="DB284" s="175"/>
      <c r="DC284" s="175"/>
      <c r="DD284" s="175"/>
      <c r="DE284" s="175"/>
      <c r="DF284" s="175"/>
      <c r="DG284" s="175"/>
      <c r="DH284" s="175"/>
      <c r="DI284" s="175"/>
      <c r="DJ284" s="175"/>
      <c r="DK284" s="175"/>
      <c r="DL284" s="175"/>
      <c r="DM284" s="175"/>
      <c r="DN284" s="175"/>
      <c r="DO284" s="175"/>
      <c r="DP284" s="175"/>
      <c r="DQ284" s="175"/>
      <c r="DR284" s="175"/>
      <c r="DS284" s="175"/>
      <c r="DT284" s="175"/>
      <c r="DU284" s="175"/>
      <c r="DV284" s="175"/>
      <c r="DW284" s="175"/>
      <c r="DX284" s="175"/>
      <c r="DY284" s="175"/>
      <c r="DZ284" s="175"/>
      <c r="EA284" s="175"/>
      <c r="EB284" s="175"/>
      <c r="EC284" s="175"/>
      <c r="ED284" s="175"/>
      <c r="EE284" s="175"/>
      <c r="EF284" s="175"/>
      <c r="EG284" s="175"/>
      <c r="EH284" s="175"/>
      <c r="EI284" s="175"/>
      <c r="EJ284" s="175"/>
      <c r="EK284" s="175"/>
      <c r="EL284" s="175"/>
      <c r="EM284" s="175"/>
      <c r="EN284" s="175"/>
      <c r="EO284" s="175"/>
      <c r="EP284" s="175"/>
      <c r="EQ284" s="175"/>
      <c r="ER284" s="175"/>
      <c r="ES284" s="175"/>
      <c r="ET284" s="175"/>
      <c r="EU284" s="175"/>
      <c r="EV284" s="175"/>
      <c r="EW284" s="175"/>
      <c r="EX284" s="175"/>
      <c r="EY284" s="175"/>
      <c r="EZ284" s="175"/>
      <c r="FA284" s="175"/>
      <c r="FB284" s="175"/>
      <c r="FC284" s="175"/>
      <c r="FD284" s="175"/>
      <c r="FE284" s="175"/>
      <c r="FF284" s="175"/>
      <c r="FG284" s="175"/>
      <c r="FH284" s="175"/>
      <c r="FI284" s="175"/>
      <c r="FJ284" s="175"/>
      <c r="FK284" s="175"/>
      <c r="FL284" s="175"/>
      <c r="FM284" s="175"/>
      <c r="FN284" s="175"/>
      <c r="FO284" s="175"/>
      <c r="FP284" s="175"/>
      <c r="FQ284" s="175"/>
      <c r="FR284" s="175"/>
      <c r="FS284" s="175"/>
      <c r="FT284" s="175"/>
      <c r="FU284" s="175"/>
      <c r="FV284" s="175"/>
      <c r="FW284" s="175"/>
      <c r="FX284" s="175"/>
      <c r="FY284" s="175"/>
      <c r="FZ284" s="175"/>
      <c r="GA284" s="175"/>
      <c r="GB284" s="175"/>
      <c r="GC284" s="175"/>
      <c r="GD284" s="175"/>
      <c r="GE284" s="175"/>
      <c r="GF284" s="175"/>
      <c r="GG284" s="175"/>
      <c r="GH284" s="175"/>
      <c r="GI284" s="175"/>
      <c r="GJ284" s="175"/>
      <c r="GK284" s="175"/>
      <c r="GL284" s="175"/>
      <c r="GM284" s="175"/>
      <c r="GN284" s="175"/>
      <c r="GO284" s="175"/>
      <c r="GP284" s="175"/>
      <c r="GQ284" s="175"/>
      <c r="GR284" s="175"/>
      <c r="GS284" s="175"/>
      <c r="GT284" s="175"/>
      <c r="GU284" s="175"/>
      <c r="GV284" s="175"/>
      <c r="GW284" s="175"/>
      <c r="GX284" s="175"/>
      <c r="GY284" s="175"/>
      <c r="GZ284" s="175"/>
      <c r="HA284" s="175"/>
      <c r="HB284" s="175"/>
      <c r="HC284" s="175"/>
      <c r="HD284" s="175"/>
      <c r="HE284" s="175"/>
      <c r="HF284" s="175"/>
      <c r="HG284" s="175"/>
      <c r="HH284" s="175"/>
      <c r="HI284" s="175"/>
      <c r="HJ284" s="175"/>
      <c r="HK284" s="175"/>
      <c r="HL284" s="175"/>
      <c r="HM284" s="175"/>
      <c r="HN284" s="175"/>
      <c r="HO284" s="175"/>
      <c r="HP284" s="175"/>
      <c r="HQ284" s="175"/>
      <c r="HR284" s="175"/>
      <c r="HS284" s="175"/>
      <c r="HT284" s="175"/>
      <c r="HU284" s="175"/>
      <c r="HV284" s="175"/>
      <c r="HW284" s="175"/>
      <c r="HX284" s="175"/>
      <c r="HY284" s="175"/>
      <c r="HZ284" s="175"/>
      <c r="IA284" s="175"/>
      <c r="IB284" s="175"/>
      <c r="IC284" s="175"/>
      <c r="ID284" s="175"/>
      <c r="IE284" s="175"/>
      <c r="IF284" s="175"/>
      <c r="IG284" s="175"/>
      <c r="IH284" s="175"/>
      <c r="II284" s="175"/>
      <c r="IJ284" s="175"/>
      <c r="IK284" s="175"/>
      <c r="IL284" s="175"/>
      <c r="IM284" s="175"/>
      <c r="IN284" s="175"/>
      <c r="IO284" s="175"/>
      <c r="IP284" s="175"/>
      <c r="IQ284" s="175"/>
      <c r="IR284" s="175"/>
      <c r="IS284" s="175"/>
      <c r="IT284" s="175"/>
      <c r="IU284" s="175"/>
      <c r="IV284" s="175"/>
      <c r="IW284" s="175"/>
      <c r="IX284" s="175"/>
      <c r="IY284" s="175"/>
      <c r="IZ284" s="175"/>
      <c r="JA284" s="175"/>
      <c r="JB284" s="175"/>
      <c r="JC284" s="175"/>
      <c r="JD284" s="175"/>
      <c r="JE284" s="175"/>
      <c r="JF284" s="175"/>
      <c r="JG284" s="175"/>
      <c r="JH284" s="175"/>
      <c r="JI284" s="175"/>
      <c r="JJ284" s="175"/>
      <c r="JK284" s="175"/>
      <c r="JL284" s="175"/>
      <c r="JM284" s="175"/>
      <c r="JN284" s="175"/>
      <c r="JO284" s="175"/>
      <c r="JP284" s="175"/>
      <c r="JQ284" s="175"/>
      <c r="JR284" s="175"/>
      <c r="JS284" s="175"/>
      <c r="JT284" s="175"/>
      <c r="JU284" s="175"/>
      <c r="JV284" s="175"/>
      <c r="JW284" s="175"/>
      <c r="JX284" s="175"/>
      <c r="JY284" s="175"/>
      <c r="JZ284" s="175"/>
      <c r="KA284" s="175"/>
      <c r="KB284" s="175"/>
      <c r="KC284" s="175"/>
      <c r="KD284" s="175"/>
      <c r="KE284" s="175"/>
      <c r="KF284" s="175"/>
      <c r="KG284" s="175"/>
      <c r="KH284" s="175"/>
      <c r="KI284" s="175"/>
      <c r="KJ284" s="175"/>
      <c r="KK284" s="175"/>
      <c r="KL284" s="175"/>
      <c r="KM284" s="175"/>
      <c r="KN284" s="175"/>
      <c r="KO284" s="175"/>
      <c r="KP284" s="175"/>
      <c r="KQ284" s="175"/>
      <c r="KR284" s="175"/>
      <c r="KS284" s="175"/>
      <c r="KT284" s="175"/>
      <c r="KU284" s="175"/>
    </row>
    <row r="285" spans="1:307" x14ac:dyDescent="0.2">
      <c r="A285" s="172"/>
      <c r="B285" s="172"/>
      <c r="C285" s="172"/>
      <c r="D285" s="172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  <c r="BD285" s="172"/>
      <c r="BE285" s="172"/>
      <c r="BF285" s="172"/>
      <c r="BG285" s="172"/>
      <c r="BH285" s="172"/>
      <c r="BI285" s="172"/>
      <c r="BJ285" s="172"/>
      <c r="BK285" s="172"/>
      <c r="BL285" s="172"/>
      <c r="BM285" s="172"/>
      <c r="BN285" s="172"/>
      <c r="BO285" s="172"/>
      <c r="BP285" s="172"/>
      <c r="BQ285" s="172"/>
      <c r="BR285" s="172"/>
      <c r="BS285" s="172"/>
      <c r="BT285" s="172"/>
      <c r="BU285" s="172"/>
      <c r="BV285" s="172"/>
      <c r="BW285" s="172"/>
      <c r="BX285" s="175"/>
      <c r="BY285" s="175"/>
      <c r="BZ285" s="175"/>
      <c r="CA285" s="175"/>
      <c r="CB285" s="175"/>
      <c r="CC285" s="175"/>
      <c r="CD285" s="175"/>
      <c r="CE285" s="175"/>
      <c r="CF285" s="175"/>
      <c r="CG285" s="175"/>
      <c r="CH285" s="175"/>
      <c r="CI285" s="175"/>
      <c r="CJ285" s="175"/>
      <c r="CK285" s="175"/>
      <c r="CL285" s="175"/>
      <c r="CM285" s="175"/>
      <c r="CN285" s="175"/>
      <c r="CO285" s="175"/>
      <c r="CP285" s="175"/>
      <c r="CQ285" s="175"/>
      <c r="CR285" s="175"/>
      <c r="CS285" s="175"/>
      <c r="CT285" s="175"/>
      <c r="CU285" s="175"/>
      <c r="CV285" s="175"/>
      <c r="CW285" s="175"/>
      <c r="CX285" s="175"/>
      <c r="CY285" s="175"/>
      <c r="CZ285" s="175"/>
      <c r="DA285" s="175"/>
      <c r="DB285" s="175"/>
      <c r="DC285" s="175"/>
      <c r="DD285" s="175"/>
      <c r="DE285" s="175"/>
      <c r="DF285" s="175"/>
      <c r="DG285" s="175"/>
      <c r="DH285" s="175"/>
      <c r="DI285" s="175"/>
      <c r="DJ285" s="175"/>
      <c r="DK285" s="175"/>
      <c r="DL285" s="175"/>
      <c r="DM285" s="175"/>
      <c r="DN285" s="175"/>
      <c r="DO285" s="175"/>
      <c r="DP285" s="175"/>
      <c r="DQ285" s="175"/>
      <c r="DR285" s="175"/>
      <c r="DS285" s="175"/>
      <c r="DT285" s="175"/>
      <c r="DU285" s="175"/>
      <c r="DV285" s="175"/>
      <c r="DW285" s="175"/>
      <c r="DX285" s="175"/>
      <c r="DY285" s="175"/>
      <c r="DZ285" s="175"/>
      <c r="EA285" s="175"/>
      <c r="EB285" s="175"/>
      <c r="EC285" s="175"/>
      <c r="ED285" s="175"/>
      <c r="EE285" s="175"/>
      <c r="EF285" s="175"/>
      <c r="EG285" s="175"/>
      <c r="EH285" s="175"/>
      <c r="EI285" s="175"/>
      <c r="EJ285" s="175"/>
      <c r="EK285" s="175"/>
      <c r="EL285" s="175"/>
      <c r="EM285" s="175"/>
      <c r="EN285" s="175"/>
      <c r="EO285" s="175"/>
      <c r="EP285" s="175"/>
      <c r="EQ285" s="175"/>
      <c r="ER285" s="175"/>
      <c r="ES285" s="175"/>
      <c r="ET285" s="175"/>
      <c r="EU285" s="175"/>
      <c r="EV285" s="175"/>
      <c r="EW285" s="175"/>
      <c r="EX285" s="175"/>
      <c r="EY285" s="175"/>
      <c r="EZ285" s="175"/>
      <c r="FA285" s="175"/>
      <c r="FB285" s="175"/>
      <c r="FC285" s="175"/>
      <c r="FD285" s="175"/>
      <c r="FE285" s="175"/>
      <c r="FF285" s="175"/>
      <c r="FG285" s="175"/>
      <c r="FH285" s="175"/>
      <c r="FI285" s="175"/>
      <c r="FJ285" s="175"/>
      <c r="FK285" s="175"/>
      <c r="FL285" s="175"/>
      <c r="FM285" s="175"/>
      <c r="FN285" s="175"/>
      <c r="FO285" s="175"/>
      <c r="FP285" s="175"/>
      <c r="FQ285" s="175"/>
      <c r="FR285" s="175"/>
      <c r="FS285" s="175"/>
      <c r="FT285" s="175"/>
      <c r="FU285" s="175"/>
      <c r="FV285" s="175"/>
      <c r="FW285" s="175"/>
      <c r="FX285" s="175"/>
      <c r="FY285" s="175"/>
      <c r="FZ285" s="175"/>
      <c r="GA285" s="175"/>
      <c r="GB285" s="175"/>
      <c r="GC285" s="175"/>
      <c r="GD285" s="175"/>
      <c r="GE285" s="175"/>
      <c r="GF285" s="175"/>
      <c r="GG285" s="175"/>
      <c r="GH285" s="175"/>
      <c r="GI285" s="175"/>
      <c r="GJ285" s="175"/>
      <c r="GK285" s="175"/>
      <c r="GL285" s="175"/>
      <c r="GM285" s="175"/>
      <c r="GN285" s="175"/>
      <c r="GO285" s="175"/>
      <c r="GP285" s="175"/>
      <c r="GQ285" s="175"/>
      <c r="GR285" s="175"/>
      <c r="GS285" s="175"/>
      <c r="GT285" s="175"/>
      <c r="GU285" s="175"/>
      <c r="GV285" s="175"/>
      <c r="GW285" s="175"/>
      <c r="GX285" s="175"/>
      <c r="GY285" s="175"/>
      <c r="GZ285" s="175"/>
      <c r="HA285" s="175"/>
      <c r="HB285" s="175"/>
      <c r="HC285" s="175"/>
      <c r="HD285" s="175"/>
      <c r="HE285" s="175"/>
      <c r="HF285" s="175"/>
      <c r="HG285" s="175"/>
      <c r="HH285" s="175"/>
      <c r="HI285" s="175"/>
      <c r="HJ285" s="175"/>
      <c r="HK285" s="175"/>
      <c r="HL285" s="175"/>
      <c r="HM285" s="175"/>
      <c r="HN285" s="175"/>
      <c r="HO285" s="175"/>
      <c r="HP285" s="175"/>
      <c r="HQ285" s="175"/>
      <c r="HR285" s="175"/>
      <c r="HS285" s="175"/>
      <c r="HT285" s="175"/>
      <c r="HU285" s="175"/>
      <c r="HV285" s="175"/>
      <c r="HW285" s="175"/>
      <c r="HX285" s="175"/>
      <c r="HY285" s="175"/>
      <c r="HZ285" s="175"/>
      <c r="IA285" s="175"/>
      <c r="IB285" s="175"/>
      <c r="IC285" s="175"/>
      <c r="ID285" s="175"/>
      <c r="IE285" s="175"/>
      <c r="IF285" s="175"/>
      <c r="IG285" s="175"/>
      <c r="IH285" s="175"/>
      <c r="II285" s="175"/>
      <c r="IJ285" s="175"/>
      <c r="IK285" s="175"/>
      <c r="IL285" s="175"/>
      <c r="IM285" s="175"/>
      <c r="IN285" s="175"/>
      <c r="IO285" s="175"/>
      <c r="IP285" s="175"/>
      <c r="IQ285" s="175"/>
      <c r="IR285" s="175"/>
      <c r="IS285" s="175"/>
      <c r="IT285" s="175"/>
      <c r="IU285" s="175"/>
      <c r="IV285" s="175"/>
      <c r="IW285" s="175"/>
      <c r="IX285" s="175"/>
      <c r="IY285" s="175"/>
      <c r="IZ285" s="175"/>
      <c r="JA285" s="175"/>
      <c r="JB285" s="175"/>
      <c r="JC285" s="175"/>
      <c r="JD285" s="175"/>
      <c r="JE285" s="175"/>
      <c r="JF285" s="175"/>
      <c r="JG285" s="175"/>
      <c r="JH285" s="175"/>
      <c r="JI285" s="175"/>
      <c r="JJ285" s="175"/>
      <c r="JK285" s="175"/>
      <c r="JL285" s="175"/>
      <c r="JM285" s="175"/>
      <c r="JN285" s="175"/>
      <c r="JO285" s="175"/>
      <c r="JP285" s="175"/>
      <c r="JQ285" s="175"/>
      <c r="JR285" s="175"/>
      <c r="JS285" s="175"/>
      <c r="JT285" s="175"/>
      <c r="JU285" s="175"/>
      <c r="JV285" s="175"/>
      <c r="JW285" s="175"/>
      <c r="JX285" s="175"/>
      <c r="JY285" s="175"/>
      <c r="JZ285" s="175"/>
      <c r="KA285" s="175"/>
      <c r="KB285" s="175"/>
      <c r="KC285" s="175"/>
      <c r="KD285" s="175"/>
      <c r="KE285" s="175"/>
      <c r="KF285" s="175"/>
      <c r="KG285" s="175"/>
      <c r="KH285" s="175"/>
      <c r="KI285" s="175"/>
      <c r="KJ285" s="175"/>
      <c r="KK285" s="175"/>
      <c r="KL285" s="175"/>
      <c r="KM285" s="175"/>
      <c r="KN285" s="175"/>
      <c r="KO285" s="175"/>
      <c r="KP285" s="175"/>
      <c r="KQ285" s="175"/>
      <c r="KR285" s="175"/>
      <c r="KS285" s="175"/>
      <c r="KT285" s="175"/>
      <c r="KU285" s="175"/>
    </row>
    <row r="286" spans="1:307" x14ac:dyDescent="0.2">
      <c r="A286" s="172"/>
      <c r="B286" s="172"/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  <c r="BE286" s="172"/>
      <c r="BF286" s="172"/>
      <c r="BG286" s="172"/>
      <c r="BH286" s="172"/>
      <c r="BI286" s="172"/>
      <c r="BJ286" s="172"/>
      <c r="BK286" s="172"/>
      <c r="BL286" s="172"/>
      <c r="BM286" s="172"/>
      <c r="BN286" s="172"/>
      <c r="BO286" s="172"/>
      <c r="BP286" s="172"/>
      <c r="BQ286" s="172"/>
      <c r="BR286" s="172"/>
      <c r="BS286" s="172"/>
      <c r="BT286" s="172"/>
      <c r="BU286" s="172"/>
      <c r="BV286" s="172"/>
      <c r="BW286" s="172"/>
      <c r="BX286" s="175"/>
      <c r="BY286" s="175"/>
      <c r="BZ286" s="175"/>
      <c r="CA286" s="175"/>
      <c r="CB286" s="175"/>
      <c r="CC286" s="175"/>
      <c r="CD286" s="175"/>
      <c r="CE286" s="175"/>
      <c r="CF286" s="175"/>
      <c r="CG286" s="175"/>
      <c r="CH286" s="175"/>
      <c r="CI286" s="175"/>
      <c r="CJ286" s="175"/>
      <c r="CK286" s="175"/>
      <c r="CL286" s="175"/>
      <c r="CM286" s="175"/>
      <c r="CN286" s="175"/>
      <c r="CO286" s="175"/>
      <c r="CP286" s="175"/>
      <c r="CQ286" s="175"/>
      <c r="CR286" s="175"/>
      <c r="CS286" s="175"/>
      <c r="CT286" s="175"/>
      <c r="CU286" s="175"/>
      <c r="CV286" s="175"/>
      <c r="CW286" s="175"/>
      <c r="CX286" s="175"/>
      <c r="CY286" s="175"/>
      <c r="CZ286" s="175"/>
      <c r="DA286" s="175"/>
      <c r="DB286" s="175"/>
      <c r="DC286" s="175"/>
      <c r="DD286" s="175"/>
      <c r="DE286" s="175"/>
      <c r="DF286" s="175"/>
      <c r="DG286" s="175"/>
      <c r="DH286" s="175"/>
      <c r="DI286" s="175"/>
      <c r="DJ286" s="175"/>
      <c r="DK286" s="175"/>
      <c r="DL286" s="175"/>
      <c r="DM286" s="175"/>
      <c r="DN286" s="175"/>
      <c r="DO286" s="175"/>
      <c r="DP286" s="175"/>
      <c r="DQ286" s="175"/>
      <c r="DR286" s="175"/>
      <c r="DS286" s="175"/>
      <c r="DT286" s="175"/>
      <c r="DU286" s="175"/>
      <c r="DV286" s="175"/>
      <c r="DW286" s="175"/>
      <c r="DX286" s="175"/>
      <c r="DY286" s="175"/>
      <c r="DZ286" s="175"/>
      <c r="EA286" s="175"/>
      <c r="EB286" s="175"/>
      <c r="EC286" s="175"/>
      <c r="ED286" s="175"/>
      <c r="EE286" s="175"/>
      <c r="EF286" s="175"/>
      <c r="EG286" s="175"/>
      <c r="EH286" s="175"/>
      <c r="EI286" s="175"/>
      <c r="EJ286" s="175"/>
      <c r="EK286" s="175"/>
      <c r="EL286" s="175"/>
      <c r="EM286" s="175"/>
      <c r="EN286" s="175"/>
      <c r="EO286" s="175"/>
      <c r="EP286" s="175"/>
      <c r="EQ286" s="175"/>
      <c r="ER286" s="175"/>
      <c r="ES286" s="175"/>
      <c r="ET286" s="175"/>
      <c r="EU286" s="175"/>
      <c r="EV286" s="175"/>
      <c r="EW286" s="175"/>
      <c r="EX286" s="175"/>
      <c r="EY286" s="175"/>
      <c r="EZ286" s="175"/>
      <c r="FA286" s="175"/>
      <c r="FB286" s="175"/>
      <c r="FC286" s="175"/>
      <c r="FD286" s="175"/>
      <c r="FE286" s="175"/>
      <c r="FF286" s="175"/>
      <c r="FG286" s="175"/>
      <c r="FH286" s="175"/>
      <c r="FI286" s="175"/>
      <c r="FJ286" s="175"/>
      <c r="FK286" s="175"/>
      <c r="FL286" s="175"/>
      <c r="FM286" s="175"/>
      <c r="FN286" s="175"/>
      <c r="FO286" s="175"/>
      <c r="FP286" s="175"/>
      <c r="FQ286" s="175"/>
      <c r="FR286" s="175"/>
      <c r="FS286" s="175"/>
      <c r="FT286" s="175"/>
      <c r="FU286" s="175"/>
      <c r="FV286" s="175"/>
      <c r="FW286" s="175"/>
      <c r="FX286" s="175"/>
      <c r="FY286" s="175"/>
      <c r="FZ286" s="175"/>
      <c r="GA286" s="175"/>
      <c r="GB286" s="175"/>
      <c r="GC286" s="175"/>
      <c r="GD286" s="175"/>
      <c r="GE286" s="175"/>
      <c r="GF286" s="175"/>
      <c r="GG286" s="175"/>
      <c r="GH286" s="175"/>
      <c r="GI286" s="175"/>
      <c r="GJ286" s="175"/>
      <c r="GK286" s="175"/>
      <c r="GL286" s="175"/>
      <c r="GM286" s="175"/>
      <c r="GN286" s="175"/>
      <c r="GO286" s="175"/>
      <c r="GP286" s="175"/>
      <c r="GQ286" s="175"/>
      <c r="GR286" s="175"/>
      <c r="GS286" s="175"/>
      <c r="GT286" s="175"/>
      <c r="GU286" s="175"/>
      <c r="GV286" s="175"/>
      <c r="GW286" s="175"/>
      <c r="GX286" s="175"/>
      <c r="GY286" s="175"/>
      <c r="GZ286" s="175"/>
      <c r="HA286" s="175"/>
      <c r="HB286" s="175"/>
      <c r="HC286" s="175"/>
      <c r="HD286" s="175"/>
      <c r="HE286" s="175"/>
      <c r="HF286" s="175"/>
      <c r="HG286" s="175"/>
      <c r="HH286" s="175"/>
      <c r="HI286" s="175"/>
      <c r="HJ286" s="175"/>
      <c r="HK286" s="175"/>
      <c r="HL286" s="175"/>
      <c r="HM286" s="175"/>
      <c r="HN286" s="175"/>
      <c r="HO286" s="175"/>
      <c r="HP286" s="175"/>
      <c r="HQ286" s="175"/>
      <c r="HR286" s="175"/>
      <c r="HS286" s="175"/>
      <c r="HT286" s="175"/>
      <c r="HU286" s="175"/>
      <c r="HV286" s="175"/>
      <c r="HW286" s="175"/>
      <c r="HX286" s="175"/>
      <c r="HY286" s="175"/>
      <c r="HZ286" s="175"/>
      <c r="IA286" s="175"/>
      <c r="IB286" s="175"/>
      <c r="IC286" s="175"/>
      <c r="ID286" s="175"/>
      <c r="IE286" s="175"/>
      <c r="IF286" s="175"/>
      <c r="IG286" s="175"/>
      <c r="IH286" s="175"/>
      <c r="II286" s="175"/>
      <c r="IJ286" s="175"/>
      <c r="IK286" s="175"/>
      <c r="IL286" s="175"/>
      <c r="IM286" s="175"/>
      <c r="IN286" s="175"/>
      <c r="IO286" s="175"/>
      <c r="IP286" s="175"/>
      <c r="IQ286" s="175"/>
      <c r="IR286" s="175"/>
      <c r="IS286" s="175"/>
      <c r="IT286" s="175"/>
      <c r="IU286" s="175"/>
      <c r="IV286" s="175"/>
      <c r="IW286" s="175"/>
      <c r="IX286" s="175"/>
      <c r="IY286" s="175"/>
      <c r="IZ286" s="175"/>
      <c r="JA286" s="175"/>
      <c r="JB286" s="175"/>
      <c r="JC286" s="175"/>
      <c r="JD286" s="175"/>
      <c r="JE286" s="175"/>
      <c r="JF286" s="175"/>
      <c r="JG286" s="175"/>
      <c r="JH286" s="175"/>
      <c r="JI286" s="175"/>
      <c r="JJ286" s="175"/>
      <c r="JK286" s="175"/>
      <c r="JL286" s="175"/>
      <c r="JM286" s="175"/>
      <c r="JN286" s="175"/>
      <c r="JO286" s="175"/>
      <c r="JP286" s="175"/>
      <c r="JQ286" s="175"/>
      <c r="JR286" s="175"/>
      <c r="JS286" s="175"/>
      <c r="JT286" s="175"/>
      <c r="JU286" s="175"/>
      <c r="JV286" s="175"/>
      <c r="JW286" s="175"/>
      <c r="JX286" s="175"/>
      <c r="JY286" s="175"/>
      <c r="JZ286" s="175"/>
      <c r="KA286" s="175"/>
      <c r="KB286" s="175"/>
      <c r="KC286" s="175"/>
      <c r="KD286" s="175"/>
      <c r="KE286" s="175"/>
      <c r="KF286" s="175"/>
      <c r="KG286" s="175"/>
      <c r="KH286" s="175"/>
      <c r="KI286" s="175"/>
      <c r="KJ286" s="175"/>
      <c r="KK286" s="175"/>
      <c r="KL286" s="175"/>
      <c r="KM286" s="175"/>
      <c r="KN286" s="175"/>
      <c r="KO286" s="175"/>
      <c r="KP286" s="175"/>
      <c r="KQ286" s="175"/>
      <c r="KR286" s="175"/>
      <c r="KS286" s="175"/>
      <c r="KT286" s="175"/>
      <c r="KU286" s="175"/>
    </row>
    <row r="287" spans="1:307" x14ac:dyDescent="0.2">
      <c r="A287" s="172"/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  <c r="AA287" s="172"/>
      <c r="AB287" s="172"/>
      <c r="AC287" s="172"/>
      <c r="AD287" s="172"/>
      <c r="AE287" s="172"/>
      <c r="AF287" s="172"/>
      <c r="AG287" s="172"/>
      <c r="AH287" s="172"/>
      <c r="AI287" s="172"/>
      <c r="AJ287" s="172"/>
      <c r="AK287" s="172"/>
      <c r="AL287" s="172"/>
      <c r="AM287" s="172"/>
      <c r="AN287" s="172"/>
      <c r="AO287" s="172"/>
      <c r="AP287" s="172"/>
      <c r="AQ287" s="172"/>
      <c r="AR287" s="172"/>
      <c r="AS287" s="172"/>
      <c r="AT287" s="172"/>
      <c r="AU287" s="172"/>
      <c r="AV287" s="172"/>
      <c r="AW287" s="172"/>
      <c r="AX287" s="172"/>
      <c r="AY287" s="172"/>
      <c r="AZ287" s="172"/>
      <c r="BA287" s="172"/>
      <c r="BB287" s="172"/>
      <c r="BC287" s="172"/>
      <c r="BD287" s="172"/>
      <c r="BE287" s="172"/>
      <c r="BF287" s="172"/>
      <c r="BG287" s="172"/>
      <c r="BH287" s="172"/>
      <c r="BI287" s="172"/>
      <c r="BJ287" s="172"/>
      <c r="BK287" s="172"/>
      <c r="BL287" s="172"/>
      <c r="BM287" s="172"/>
      <c r="BN287" s="172"/>
      <c r="BO287" s="172"/>
      <c r="BP287" s="172"/>
      <c r="BQ287" s="172"/>
      <c r="BR287" s="172"/>
      <c r="BS287" s="172"/>
      <c r="BT287" s="172"/>
      <c r="BU287" s="172"/>
      <c r="BV287" s="172"/>
      <c r="BW287" s="172"/>
      <c r="BX287" s="175"/>
      <c r="BY287" s="175"/>
      <c r="BZ287" s="175"/>
      <c r="CA287" s="175"/>
      <c r="CB287" s="175"/>
      <c r="CC287" s="175"/>
      <c r="CD287" s="175"/>
      <c r="CE287" s="175"/>
      <c r="CF287" s="175"/>
      <c r="CG287" s="175"/>
      <c r="CH287" s="175"/>
      <c r="CI287" s="175"/>
      <c r="CJ287" s="175"/>
      <c r="CK287" s="175"/>
      <c r="CL287" s="175"/>
      <c r="CM287" s="175"/>
      <c r="CN287" s="175"/>
      <c r="CO287" s="175"/>
      <c r="CP287" s="175"/>
      <c r="CQ287" s="175"/>
      <c r="CR287" s="175"/>
      <c r="CS287" s="175"/>
      <c r="CT287" s="175"/>
      <c r="CU287" s="175"/>
      <c r="CV287" s="175"/>
      <c r="CW287" s="175"/>
      <c r="CX287" s="175"/>
      <c r="CY287" s="175"/>
      <c r="CZ287" s="175"/>
      <c r="DA287" s="175"/>
      <c r="DB287" s="175"/>
      <c r="DC287" s="175"/>
      <c r="DD287" s="175"/>
      <c r="DE287" s="175"/>
      <c r="DF287" s="175"/>
      <c r="DG287" s="175"/>
      <c r="DH287" s="175"/>
      <c r="DI287" s="175"/>
      <c r="DJ287" s="175"/>
      <c r="DK287" s="175"/>
      <c r="DL287" s="175"/>
      <c r="DM287" s="175"/>
      <c r="DN287" s="175"/>
      <c r="DO287" s="175"/>
      <c r="DP287" s="175"/>
      <c r="DQ287" s="175"/>
      <c r="DR287" s="175"/>
      <c r="DS287" s="175"/>
      <c r="DT287" s="175"/>
      <c r="DU287" s="175"/>
      <c r="DV287" s="175"/>
      <c r="DW287" s="175"/>
      <c r="DX287" s="175"/>
      <c r="DY287" s="175"/>
      <c r="DZ287" s="175"/>
      <c r="EA287" s="175"/>
      <c r="EB287" s="175"/>
      <c r="EC287" s="175"/>
      <c r="ED287" s="175"/>
      <c r="EE287" s="175"/>
      <c r="EF287" s="175"/>
      <c r="EG287" s="175"/>
      <c r="EH287" s="175"/>
      <c r="EI287" s="175"/>
      <c r="EJ287" s="175"/>
      <c r="EK287" s="175"/>
      <c r="EL287" s="175"/>
      <c r="EM287" s="175"/>
      <c r="EN287" s="175"/>
      <c r="EO287" s="175"/>
      <c r="EP287" s="175"/>
      <c r="EQ287" s="175"/>
      <c r="ER287" s="175"/>
      <c r="ES287" s="175"/>
      <c r="ET287" s="175"/>
      <c r="EU287" s="175"/>
      <c r="EV287" s="175"/>
      <c r="EW287" s="175"/>
      <c r="EX287" s="175"/>
      <c r="EY287" s="175"/>
      <c r="EZ287" s="175"/>
      <c r="FA287" s="175"/>
      <c r="FB287" s="175"/>
      <c r="FC287" s="175"/>
      <c r="FD287" s="175"/>
      <c r="FE287" s="175"/>
      <c r="FF287" s="175"/>
      <c r="FG287" s="175"/>
      <c r="FH287" s="175"/>
      <c r="FI287" s="175"/>
      <c r="FJ287" s="175"/>
      <c r="FK287" s="175"/>
      <c r="FL287" s="175"/>
      <c r="FM287" s="175"/>
      <c r="FN287" s="175"/>
      <c r="FO287" s="175"/>
      <c r="FP287" s="175"/>
      <c r="FQ287" s="175"/>
      <c r="FR287" s="175"/>
      <c r="FS287" s="175"/>
      <c r="FT287" s="175"/>
      <c r="FU287" s="175"/>
      <c r="FV287" s="175"/>
      <c r="FW287" s="175"/>
      <c r="FX287" s="175"/>
      <c r="FY287" s="175"/>
      <c r="FZ287" s="175"/>
      <c r="GA287" s="175"/>
      <c r="GB287" s="175"/>
      <c r="GC287" s="175"/>
      <c r="GD287" s="175"/>
      <c r="GE287" s="175"/>
      <c r="GF287" s="175"/>
      <c r="GG287" s="175"/>
      <c r="GH287" s="175"/>
      <c r="GI287" s="175"/>
      <c r="GJ287" s="175"/>
      <c r="GK287" s="175"/>
      <c r="GL287" s="175"/>
      <c r="GM287" s="175"/>
      <c r="GN287" s="175"/>
      <c r="GO287" s="175"/>
      <c r="GP287" s="175"/>
      <c r="GQ287" s="175"/>
      <c r="GR287" s="175"/>
      <c r="GS287" s="175"/>
      <c r="GT287" s="175"/>
      <c r="GU287" s="175"/>
      <c r="GV287" s="175"/>
      <c r="GW287" s="175"/>
      <c r="GX287" s="175"/>
      <c r="GY287" s="175"/>
      <c r="GZ287" s="175"/>
      <c r="HA287" s="175"/>
      <c r="HB287" s="175"/>
      <c r="HC287" s="175"/>
      <c r="HD287" s="175"/>
      <c r="HE287" s="175"/>
      <c r="HF287" s="175"/>
      <c r="HG287" s="175"/>
      <c r="HH287" s="175"/>
      <c r="HI287" s="175"/>
      <c r="HJ287" s="175"/>
      <c r="HK287" s="175"/>
      <c r="HL287" s="175"/>
      <c r="HM287" s="175"/>
      <c r="HN287" s="175"/>
      <c r="HO287" s="175"/>
      <c r="HP287" s="175"/>
      <c r="HQ287" s="175"/>
      <c r="HR287" s="175"/>
      <c r="HS287" s="175"/>
      <c r="HT287" s="175"/>
      <c r="HU287" s="175"/>
      <c r="HV287" s="175"/>
      <c r="HW287" s="175"/>
      <c r="HX287" s="175"/>
      <c r="HY287" s="175"/>
      <c r="HZ287" s="175"/>
      <c r="IA287" s="175"/>
      <c r="IB287" s="175"/>
      <c r="IC287" s="175"/>
      <c r="ID287" s="175"/>
      <c r="IE287" s="175"/>
      <c r="IF287" s="175"/>
      <c r="IG287" s="175"/>
      <c r="IH287" s="175"/>
      <c r="II287" s="175"/>
      <c r="IJ287" s="175"/>
      <c r="IK287" s="175"/>
      <c r="IL287" s="175"/>
      <c r="IM287" s="175"/>
      <c r="IN287" s="175"/>
      <c r="IO287" s="175"/>
      <c r="IP287" s="175"/>
      <c r="IQ287" s="175"/>
      <c r="IR287" s="175"/>
      <c r="IS287" s="175"/>
      <c r="IT287" s="175"/>
      <c r="IU287" s="175"/>
      <c r="IV287" s="175"/>
      <c r="IW287" s="175"/>
      <c r="IX287" s="175"/>
      <c r="IY287" s="175"/>
      <c r="IZ287" s="175"/>
      <c r="JA287" s="175"/>
      <c r="JB287" s="175"/>
      <c r="JC287" s="175"/>
      <c r="JD287" s="175"/>
      <c r="JE287" s="175"/>
      <c r="JF287" s="175"/>
      <c r="JG287" s="175"/>
      <c r="JH287" s="175"/>
      <c r="JI287" s="175"/>
      <c r="JJ287" s="175"/>
      <c r="JK287" s="175"/>
      <c r="JL287" s="175"/>
      <c r="JM287" s="175"/>
      <c r="JN287" s="175"/>
      <c r="JO287" s="175"/>
      <c r="JP287" s="175"/>
      <c r="JQ287" s="175"/>
      <c r="JR287" s="175"/>
      <c r="JS287" s="175"/>
      <c r="JT287" s="175"/>
      <c r="JU287" s="175"/>
      <c r="JV287" s="175"/>
      <c r="JW287" s="175"/>
      <c r="JX287" s="175"/>
      <c r="JY287" s="175"/>
      <c r="JZ287" s="175"/>
      <c r="KA287" s="175"/>
      <c r="KB287" s="175"/>
      <c r="KC287" s="175"/>
      <c r="KD287" s="175"/>
      <c r="KE287" s="175"/>
      <c r="KF287" s="175"/>
      <c r="KG287" s="175"/>
      <c r="KH287" s="175"/>
      <c r="KI287" s="175"/>
      <c r="KJ287" s="175"/>
      <c r="KK287" s="175"/>
      <c r="KL287" s="175"/>
      <c r="KM287" s="175"/>
      <c r="KN287" s="175"/>
      <c r="KO287" s="175"/>
      <c r="KP287" s="175"/>
      <c r="KQ287" s="175"/>
      <c r="KR287" s="175"/>
      <c r="KS287" s="175"/>
      <c r="KT287" s="175"/>
      <c r="KU287" s="175"/>
    </row>
    <row r="288" spans="1:307" x14ac:dyDescent="0.2">
      <c r="A288" s="172"/>
      <c r="B288" s="172"/>
      <c r="C288" s="172"/>
      <c r="D288" s="172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  <c r="AA288" s="172"/>
      <c r="AB288" s="172"/>
      <c r="AC288" s="172"/>
      <c r="AD288" s="172"/>
      <c r="AE288" s="172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  <c r="AP288" s="172"/>
      <c r="AQ288" s="172"/>
      <c r="AR288" s="172"/>
      <c r="AS288" s="172"/>
      <c r="AT288" s="172"/>
      <c r="AU288" s="172"/>
      <c r="AV288" s="172"/>
      <c r="AW288" s="172"/>
      <c r="AX288" s="172"/>
      <c r="AY288" s="172"/>
      <c r="AZ288" s="172"/>
      <c r="BA288" s="172"/>
      <c r="BB288" s="172"/>
      <c r="BC288" s="172"/>
      <c r="BD288" s="172"/>
      <c r="BE288" s="172"/>
      <c r="BF288" s="172"/>
      <c r="BG288" s="172"/>
      <c r="BH288" s="172"/>
      <c r="BI288" s="172"/>
      <c r="BJ288" s="172"/>
      <c r="BK288" s="172"/>
      <c r="BL288" s="172"/>
      <c r="BM288" s="172"/>
      <c r="BN288" s="172"/>
      <c r="BO288" s="172"/>
      <c r="BP288" s="172"/>
      <c r="BQ288" s="172"/>
      <c r="BR288" s="172"/>
      <c r="BS288" s="172"/>
      <c r="BT288" s="172"/>
      <c r="BU288" s="172"/>
      <c r="BV288" s="172"/>
      <c r="BW288" s="172"/>
      <c r="BX288" s="175"/>
      <c r="BY288" s="175"/>
      <c r="BZ288" s="175"/>
      <c r="CA288" s="175"/>
      <c r="CB288" s="175"/>
      <c r="CC288" s="175"/>
      <c r="CD288" s="175"/>
      <c r="CE288" s="175"/>
      <c r="CF288" s="175"/>
      <c r="CG288" s="175"/>
      <c r="CH288" s="175"/>
      <c r="CI288" s="175"/>
      <c r="CJ288" s="175"/>
      <c r="CK288" s="175"/>
      <c r="CL288" s="175"/>
      <c r="CM288" s="175"/>
      <c r="CN288" s="175"/>
      <c r="CO288" s="175"/>
      <c r="CP288" s="175"/>
      <c r="CQ288" s="175"/>
      <c r="CR288" s="175"/>
      <c r="CS288" s="175"/>
      <c r="CT288" s="175"/>
      <c r="CU288" s="175"/>
      <c r="CV288" s="175"/>
      <c r="CW288" s="175"/>
      <c r="CX288" s="175"/>
      <c r="CY288" s="175"/>
      <c r="CZ288" s="175"/>
      <c r="DA288" s="175"/>
      <c r="DB288" s="175"/>
      <c r="DC288" s="175"/>
      <c r="DD288" s="175"/>
      <c r="DE288" s="175"/>
      <c r="DF288" s="175"/>
      <c r="DG288" s="175"/>
      <c r="DH288" s="175"/>
      <c r="DI288" s="175"/>
      <c r="DJ288" s="175"/>
      <c r="DK288" s="175"/>
      <c r="DL288" s="175"/>
      <c r="DM288" s="175"/>
      <c r="DN288" s="175"/>
      <c r="DO288" s="175"/>
      <c r="DP288" s="175"/>
      <c r="DQ288" s="175"/>
      <c r="DR288" s="175"/>
      <c r="DS288" s="175"/>
      <c r="DT288" s="175"/>
      <c r="DU288" s="175"/>
      <c r="DV288" s="175"/>
      <c r="DW288" s="175"/>
      <c r="DX288" s="175"/>
      <c r="DY288" s="175"/>
      <c r="DZ288" s="175"/>
      <c r="EA288" s="175"/>
      <c r="EB288" s="175"/>
      <c r="EC288" s="175"/>
      <c r="ED288" s="175"/>
      <c r="EE288" s="175"/>
      <c r="EF288" s="175"/>
      <c r="EG288" s="175"/>
      <c r="EH288" s="175"/>
      <c r="EI288" s="175"/>
      <c r="EJ288" s="175"/>
      <c r="EK288" s="175"/>
      <c r="EL288" s="175"/>
      <c r="EM288" s="175"/>
      <c r="EN288" s="175"/>
      <c r="EO288" s="175"/>
      <c r="EP288" s="175"/>
      <c r="EQ288" s="175"/>
      <c r="ER288" s="175"/>
      <c r="ES288" s="175"/>
      <c r="ET288" s="175"/>
      <c r="EU288" s="175"/>
      <c r="EV288" s="175"/>
      <c r="EW288" s="175"/>
      <c r="EX288" s="175"/>
      <c r="EY288" s="175"/>
      <c r="EZ288" s="175"/>
      <c r="FA288" s="175"/>
      <c r="FB288" s="175"/>
      <c r="FC288" s="175"/>
      <c r="FD288" s="175"/>
      <c r="FE288" s="175"/>
      <c r="FF288" s="175"/>
      <c r="FG288" s="175"/>
      <c r="FH288" s="175"/>
      <c r="FI288" s="175"/>
      <c r="FJ288" s="175"/>
      <c r="FK288" s="175"/>
      <c r="FL288" s="175"/>
      <c r="FM288" s="175"/>
      <c r="FN288" s="175"/>
      <c r="FO288" s="175"/>
      <c r="FP288" s="175"/>
      <c r="FQ288" s="175"/>
      <c r="FR288" s="175"/>
      <c r="FS288" s="175"/>
      <c r="FT288" s="175"/>
      <c r="FU288" s="175"/>
      <c r="FV288" s="175"/>
      <c r="FW288" s="175"/>
      <c r="FX288" s="175"/>
      <c r="FY288" s="175"/>
      <c r="FZ288" s="175"/>
      <c r="GA288" s="175"/>
      <c r="GB288" s="175"/>
      <c r="GC288" s="175"/>
      <c r="GD288" s="175"/>
      <c r="GE288" s="175"/>
      <c r="GF288" s="175"/>
      <c r="GG288" s="175"/>
      <c r="GH288" s="175"/>
      <c r="GI288" s="175"/>
      <c r="GJ288" s="175"/>
      <c r="GK288" s="175"/>
      <c r="GL288" s="175"/>
      <c r="GM288" s="175"/>
      <c r="GN288" s="175"/>
      <c r="GO288" s="175"/>
      <c r="GP288" s="175"/>
      <c r="GQ288" s="175"/>
      <c r="GR288" s="175"/>
      <c r="GS288" s="175"/>
      <c r="GT288" s="175"/>
      <c r="GU288" s="175"/>
      <c r="GV288" s="175"/>
      <c r="GW288" s="175"/>
      <c r="GX288" s="175"/>
      <c r="GY288" s="175"/>
      <c r="GZ288" s="175"/>
      <c r="HA288" s="175"/>
      <c r="HB288" s="175"/>
      <c r="HC288" s="175"/>
      <c r="HD288" s="175"/>
      <c r="HE288" s="175"/>
      <c r="HF288" s="175"/>
      <c r="HG288" s="175"/>
      <c r="HH288" s="175"/>
      <c r="HI288" s="175"/>
      <c r="HJ288" s="175"/>
      <c r="HK288" s="175"/>
      <c r="HL288" s="175"/>
      <c r="HM288" s="175"/>
      <c r="HN288" s="175"/>
      <c r="HO288" s="175"/>
      <c r="HP288" s="175"/>
      <c r="HQ288" s="175"/>
      <c r="HR288" s="175"/>
      <c r="HS288" s="175"/>
      <c r="HT288" s="175"/>
      <c r="HU288" s="175"/>
      <c r="HV288" s="175"/>
      <c r="HW288" s="175"/>
      <c r="HX288" s="175"/>
      <c r="HY288" s="175"/>
      <c r="HZ288" s="175"/>
      <c r="IA288" s="175"/>
      <c r="IB288" s="175"/>
      <c r="IC288" s="175"/>
      <c r="ID288" s="175"/>
      <c r="IE288" s="175"/>
      <c r="IF288" s="175"/>
      <c r="IG288" s="175"/>
      <c r="IH288" s="175"/>
      <c r="II288" s="175"/>
      <c r="IJ288" s="175"/>
      <c r="IK288" s="175"/>
      <c r="IL288" s="175"/>
      <c r="IM288" s="175"/>
      <c r="IN288" s="175"/>
      <c r="IO288" s="175"/>
      <c r="IP288" s="175"/>
      <c r="IQ288" s="175"/>
      <c r="IR288" s="175"/>
      <c r="IS288" s="175"/>
      <c r="IT288" s="175"/>
      <c r="IU288" s="175"/>
      <c r="IV288" s="175"/>
      <c r="IW288" s="175"/>
      <c r="IX288" s="175"/>
      <c r="IY288" s="175"/>
      <c r="IZ288" s="175"/>
      <c r="JA288" s="175"/>
      <c r="JB288" s="175"/>
      <c r="JC288" s="175"/>
      <c r="JD288" s="175"/>
      <c r="JE288" s="175"/>
      <c r="JF288" s="175"/>
      <c r="JG288" s="175"/>
      <c r="JH288" s="175"/>
      <c r="JI288" s="175"/>
      <c r="JJ288" s="175"/>
      <c r="JK288" s="175"/>
      <c r="JL288" s="175"/>
      <c r="JM288" s="175"/>
      <c r="JN288" s="175"/>
      <c r="JO288" s="175"/>
      <c r="JP288" s="175"/>
      <c r="JQ288" s="175"/>
      <c r="JR288" s="175"/>
      <c r="JS288" s="175"/>
      <c r="JT288" s="175"/>
      <c r="JU288" s="175"/>
      <c r="JV288" s="175"/>
      <c r="JW288" s="175"/>
      <c r="JX288" s="175"/>
      <c r="JY288" s="175"/>
      <c r="JZ288" s="175"/>
      <c r="KA288" s="175"/>
      <c r="KB288" s="175"/>
      <c r="KC288" s="175"/>
      <c r="KD288" s="175"/>
      <c r="KE288" s="175"/>
      <c r="KF288" s="175"/>
      <c r="KG288" s="175"/>
      <c r="KH288" s="175"/>
      <c r="KI288" s="175"/>
      <c r="KJ288" s="175"/>
      <c r="KK288" s="175"/>
      <c r="KL288" s="175"/>
      <c r="KM288" s="175"/>
      <c r="KN288" s="175"/>
      <c r="KO288" s="175"/>
      <c r="KP288" s="175"/>
      <c r="KQ288" s="175"/>
      <c r="KR288" s="175"/>
      <c r="KS288" s="175"/>
      <c r="KT288" s="175"/>
      <c r="KU288" s="175"/>
    </row>
    <row r="289" spans="1:307" x14ac:dyDescent="0.2">
      <c r="A289" s="172"/>
      <c r="B289" s="172"/>
      <c r="C289" s="172"/>
      <c r="D289" s="172"/>
      <c r="E289" s="172"/>
      <c r="F289" s="172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  <c r="AA289" s="172"/>
      <c r="AB289" s="172"/>
      <c r="AC289" s="172"/>
      <c r="AD289" s="172"/>
      <c r="AE289" s="172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  <c r="AP289" s="172"/>
      <c r="AQ289" s="172"/>
      <c r="AR289" s="172"/>
      <c r="AS289" s="172"/>
      <c r="AT289" s="172"/>
      <c r="AU289" s="172"/>
      <c r="AV289" s="172"/>
      <c r="AW289" s="172"/>
      <c r="AX289" s="172"/>
      <c r="AY289" s="172"/>
      <c r="AZ289" s="172"/>
      <c r="BA289" s="172"/>
      <c r="BB289" s="172"/>
      <c r="BC289" s="172"/>
      <c r="BD289" s="172"/>
      <c r="BE289" s="172"/>
      <c r="BF289" s="172"/>
      <c r="BG289" s="172"/>
      <c r="BH289" s="172"/>
      <c r="BI289" s="172"/>
      <c r="BJ289" s="172"/>
      <c r="BK289" s="172"/>
      <c r="BL289" s="172"/>
      <c r="BM289" s="172"/>
      <c r="BN289" s="172"/>
      <c r="BO289" s="172"/>
      <c r="BP289" s="172"/>
      <c r="BQ289" s="172"/>
      <c r="BR289" s="172"/>
      <c r="BS289" s="172"/>
      <c r="BT289" s="172"/>
      <c r="BU289" s="172"/>
      <c r="BV289" s="172"/>
      <c r="BW289" s="172"/>
      <c r="BX289" s="175"/>
      <c r="BY289" s="175"/>
      <c r="BZ289" s="175"/>
      <c r="CA289" s="175"/>
      <c r="CB289" s="175"/>
      <c r="CC289" s="175"/>
      <c r="CD289" s="175"/>
      <c r="CE289" s="175"/>
      <c r="CF289" s="175"/>
      <c r="CG289" s="175"/>
      <c r="CH289" s="175"/>
      <c r="CI289" s="175"/>
      <c r="CJ289" s="175"/>
      <c r="CK289" s="175"/>
      <c r="CL289" s="175"/>
      <c r="CM289" s="175"/>
      <c r="CN289" s="175"/>
      <c r="CO289" s="175"/>
      <c r="CP289" s="175"/>
      <c r="CQ289" s="175"/>
      <c r="CR289" s="175"/>
      <c r="CS289" s="175"/>
      <c r="CT289" s="175"/>
      <c r="CU289" s="175"/>
      <c r="CV289" s="175"/>
      <c r="CW289" s="175"/>
      <c r="CX289" s="175"/>
      <c r="CY289" s="175"/>
      <c r="CZ289" s="175"/>
      <c r="DA289" s="175"/>
      <c r="DB289" s="175"/>
      <c r="DC289" s="175"/>
      <c r="DD289" s="175"/>
      <c r="DE289" s="175"/>
      <c r="DF289" s="175"/>
      <c r="DG289" s="175"/>
      <c r="DH289" s="175"/>
      <c r="DI289" s="175"/>
      <c r="DJ289" s="175"/>
      <c r="DK289" s="175"/>
      <c r="DL289" s="175"/>
      <c r="DM289" s="175"/>
      <c r="DN289" s="175"/>
      <c r="DO289" s="175"/>
      <c r="DP289" s="175"/>
      <c r="DQ289" s="175"/>
      <c r="DR289" s="175"/>
      <c r="DS289" s="175"/>
      <c r="DT289" s="175"/>
      <c r="DU289" s="175"/>
      <c r="DV289" s="175"/>
      <c r="DW289" s="175"/>
      <c r="DX289" s="175"/>
      <c r="DY289" s="175"/>
      <c r="DZ289" s="175"/>
      <c r="EA289" s="175"/>
      <c r="EB289" s="175"/>
      <c r="EC289" s="175"/>
      <c r="ED289" s="175"/>
      <c r="EE289" s="175"/>
      <c r="EF289" s="175"/>
      <c r="EG289" s="175"/>
      <c r="EH289" s="175"/>
      <c r="EI289" s="175"/>
      <c r="EJ289" s="175"/>
      <c r="EK289" s="175"/>
      <c r="EL289" s="175"/>
      <c r="EM289" s="175"/>
      <c r="EN289" s="175"/>
      <c r="EO289" s="175"/>
      <c r="EP289" s="175"/>
      <c r="EQ289" s="175"/>
      <c r="ER289" s="175"/>
      <c r="ES289" s="175"/>
      <c r="ET289" s="175"/>
      <c r="EU289" s="175"/>
      <c r="EV289" s="175"/>
      <c r="EW289" s="175"/>
      <c r="EX289" s="175"/>
      <c r="EY289" s="175"/>
      <c r="EZ289" s="175"/>
      <c r="FA289" s="175"/>
      <c r="FB289" s="175"/>
      <c r="FC289" s="175"/>
      <c r="FD289" s="175"/>
      <c r="FE289" s="175"/>
      <c r="FF289" s="175"/>
      <c r="FG289" s="175"/>
      <c r="FH289" s="175"/>
      <c r="FI289" s="175"/>
      <c r="FJ289" s="175"/>
      <c r="FK289" s="175"/>
      <c r="FL289" s="175"/>
      <c r="FM289" s="175"/>
      <c r="FN289" s="175"/>
      <c r="FO289" s="175"/>
      <c r="FP289" s="175"/>
      <c r="FQ289" s="175"/>
      <c r="FR289" s="175"/>
      <c r="FS289" s="175"/>
      <c r="FT289" s="175"/>
      <c r="FU289" s="175"/>
      <c r="FV289" s="175"/>
      <c r="FW289" s="175"/>
      <c r="FX289" s="175"/>
      <c r="FY289" s="175"/>
      <c r="FZ289" s="175"/>
      <c r="GA289" s="175"/>
      <c r="GB289" s="175"/>
      <c r="GC289" s="175"/>
      <c r="GD289" s="175"/>
      <c r="GE289" s="175"/>
      <c r="GF289" s="175"/>
      <c r="GG289" s="175"/>
      <c r="GH289" s="175"/>
      <c r="GI289" s="175"/>
      <c r="GJ289" s="175"/>
      <c r="GK289" s="175"/>
      <c r="GL289" s="175"/>
      <c r="GM289" s="175"/>
      <c r="GN289" s="175"/>
      <c r="GO289" s="175"/>
      <c r="GP289" s="175"/>
      <c r="GQ289" s="175"/>
      <c r="GR289" s="175"/>
      <c r="GS289" s="175"/>
      <c r="GT289" s="175"/>
      <c r="GU289" s="175"/>
      <c r="GV289" s="175"/>
      <c r="GW289" s="175"/>
      <c r="GX289" s="175"/>
      <c r="GY289" s="175"/>
      <c r="GZ289" s="175"/>
      <c r="HA289" s="175"/>
      <c r="HB289" s="175"/>
      <c r="HC289" s="175"/>
      <c r="HD289" s="175"/>
      <c r="HE289" s="175"/>
      <c r="HF289" s="175"/>
      <c r="HG289" s="175"/>
      <c r="HH289" s="175"/>
      <c r="HI289" s="175"/>
      <c r="HJ289" s="175"/>
      <c r="HK289" s="175"/>
      <c r="HL289" s="175"/>
      <c r="HM289" s="175"/>
      <c r="HN289" s="175"/>
      <c r="HO289" s="175"/>
      <c r="HP289" s="175"/>
      <c r="HQ289" s="175"/>
      <c r="HR289" s="175"/>
      <c r="HS289" s="175"/>
      <c r="HT289" s="175"/>
      <c r="HU289" s="175"/>
      <c r="HV289" s="175"/>
      <c r="HW289" s="175"/>
      <c r="HX289" s="175"/>
      <c r="HY289" s="175"/>
      <c r="HZ289" s="175"/>
      <c r="IA289" s="175"/>
      <c r="IB289" s="175"/>
      <c r="IC289" s="175"/>
      <c r="ID289" s="175"/>
      <c r="IE289" s="175"/>
      <c r="IF289" s="175"/>
      <c r="IG289" s="175"/>
      <c r="IH289" s="175"/>
      <c r="II289" s="175"/>
      <c r="IJ289" s="175"/>
      <c r="IK289" s="175"/>
      <c r="IL289" s="175"/>
      <c r="IM289" s="175"/>
      <c r="IN289" s="175"/>
      <c r="IO289" s="175"/>
      <c r="IP289" s="175"/>
      <c r="IQ289" s="175"/>
      <c r="IR289" s="175"/>
      <c r="IS289" s="175"/>
      <c r="IT289" s="175"/>
      <c r="IU289" s="175"/>
      <c r="IV289" s="175"/>
      <c r="IW289" s="175"/>
      <c r="IX289" s="175"/>
      <c r="IY289" s="175"/>
      <c r="IZ289" s="175"/>
      <c r="JA289" s="175"/>
      <c r="JB289" s="175"/>
      <c r="JC289" s="175"/>
      <c r="JD289" s="175"/>
      <c r="JE289" s="175"/>
      <c r="JF289" s="175"/>
      <c r="JG289" s="175"/>
      <c r="JH289" s="175"/>
      <c r="JI289" s="175"/>
      <c r="JJ289" s="175"/>
      <c r="JK289" s="175"/>
      <c r="JL289" s="175"/>
      <c r="JM289" s="175"/>
      <c r="JN289" s="175"/>
      <c r="JO289" s="175"/>
      <c r="JP289" s="175"/>
      <c r="JQ289" s="175"/>
      <c r="JR289" s="175"/>
      <c r="JS289" s="175"/>
      <c r="JT289" s="175"/>
      <c r="JU289" s="175"/>
      <c r="JV289" s="175"/>
      <c r="JW289" s="175"/>
      <c r="JX289" s="175"/>
      <c r="JY289" s="175"/>
      <c r="JZ289" s="175"/>
      <c r="KA289" s="175"/>
      <c r="KB289" s="175"/>
      <c r="KC289" s="175"/>
      <c r="KD289" s="175"/>
      <c r="KE289" s="175"/>
      <c r="KF289" s="175"/>
      <c r="KG289" s="175"/>
      <c r="KH289" s="175"/>
      <c r="KI289" s="175"/>
      <c r="KJ289" s="175"/>
      <c r="KK289" s="175"/>
      <c r="KL289" s="175"/>
      <c r="KM289" s="175"/>
      <c r="KN289" s="175"/>
      <c r="KO289" s="175"/>
      <c r="KP289" s="175"/>
      <c r="KQ289" s="175"/>
      <c r="KR289" s="175"/>
      <c r="KS289" s="175"/>
      <c r="KT289" s="175"/>
      <c r="KU289" s="175"/>
    </row>
    <row r="290" spans="1:307" x14ac:dyDescent="0.2">
      <c r="A290" s="172"/>
      <c r="B290" s="172"/>
      <c r="C290" s="172"/>
      <c r="D290" s="172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  <c r="AA290" s="172"/>
      <c r="AB290" s="172"/>
      <c r="AC290" s="172"/>
      <c r="AD290" s="172"/>
      <c r="AE290" s="172"/>
      <c r="AF290" s="172"/>
      <c r="AG290" s="172"/>
      <c r="AH290" s="172"/>
      <c r="AI290" s="172"/>
      <c r="AJ290" s="172"/>
      <c r="AK290" s="172"/>
      <c r="AL290" s="172"/>
      <c r="AM290" s="172"/>
      <c r="AN290" s="172"/>
      <c r="AO290" s="172"/>
      <c r="AP290" s="172"/>
      <c r="AQ290" s="172"/>
      <c r="AR290" s="172"/>
      <c r="AS290" s="172"/>
      <c r="AT290" s="172"/>
      <c r="AU290" s="172"/>
      <c r="AV290" s="172"/>
      <c r="AW290" s="172"/>
      <c r="AX290" s="172"/>
      <c r="AY290" s="172"/>
      <c r="AZ290" s="172"/>
      <c r="BA290" s="172"/>
      <c r="BB290" s="172"/>
      <c r="BC290" s="172"/>
      <c r="BD290" s="172"/>
      <c r="BE290" s="172"/>
      <c r="BF290" s="172"/>
      <c r="BG290" s="172"/>
      <c r="BH290" s="172"/>
      <c r="BI290" s="172"/>
      <c r="BJ290" s="172"/>
      <c r="BK290" s="172"/>
      <c r="BL290" s="172"/>
      <c r="BM290" s="172"/>
      <c r="BN290" s="172"/>
      <c r="BO290" s="172"/>
      <c r="BP290" s="172"/>
      <c r="BQ290" s="172"/>
      <c r="BR290" s="172"/>
      <c r="BS290" s="172"/>
      <c r="BT290" s="172"/>
      <c r="BU290" s="172"/>
      <c r="BV290" s="172"/>
      <c r="BW290" s="172"/>
      <c r="BX290" s="175"/>
      <c r="BY290" s="175"/>
      <c r="BZ290" s="175"/>
      <c r="CA290" s="175"/>
      <c r="CB290" s="175"/>
      <c r="CC290" s="175"/>
      <c r="CD290" s="175"/>
      <c r="CE290" s="175"/>
      <c r="CF290" s="175"/>
      <c r="CG290" s="175"/>
      <c r="CH290" s="175"/>
      <c r="CI290" s="175"/>
      <c r="CJ290" s="175"/>
      <c r="CK290" s="175"/>
      <c r="CL290" s="175"/>
      <c r="CM290" s="175"/>
      <c r="CN290" s="175"/>
      <c r="CO290" s="175"/>
      <c r="CP290" s="175"/>
      <c r="CQ290" s="175"/>
      <c r="CR290" s="175"/>
      <c r="CS290" s="175"/>
      <c r="CT290" s="175"/>
      <c r="CU290" s="175"/>
      <c r="CV290" s="175"/>
      <c r="CW290" s="175"/>
      <c r="CX290" s="175"/>
      <c r="CY290" s="175"/>
      <c r="CZ290" s="175"/>
      <c r="DA290" s="175"/>
      <c r="DB290" s="175"/>
      <c r="DC290" s="175"/>
      <c r="DD290" s="175"/>
      <c r="DE290" s="175"/>
      <c r="DF290" s="175"/>
      <c r="DG290" s="175"/>
      <c r="DH290" s="175"/>
      <c r="DI290" s="175"/>
      <c r="DJ290" s="175"/>
      <c r="DK290" s="175"/>
      <c r="DL290" s="175"/>
      <c r="DM290" s="175"/>
      <c r="DN290" s="175"/>
      <c r="DO290" s="175"/>
      <c r="DP290" s="175"/>
      <c r="DQ290" s="175"/>
      <c r="DR290" s="175"/>
      <c r="DS290" s="175"/>
      <c r="DT290" s="175"/>
      <c r="DU290" s="175"/>
      <c r="DV290" s="175"/>
      <c r="DW290" s="175"/>
      <c r="DX290" s="175"/>
      <c r="DY290" s="175"/>
      <c r="DZ290" s="175"/>
      <c r="EA290" s="175"/>
      <c r="EB290" s="175"/>
      <c r="EC290" s="175"/>
      <c r="ED290" s="175"/>
      <c r="EE290" s="175"/>
      <c r="EF290" s="175"/>
      <c r="EG290" s="175"/>
      <c r="EH290" s="175"/>
      <c r="EI290" s="175"/>
      <c r="EJ290" s="175"/>
      <c r="EK290" s="175"/>
      <c r="EL290" s="175"/>
      <c r="EM290" s="175"/>
      <c r="EN290" s="175"/>
      <c r="EO290" s="175"/>
      <c r="EP290" s="175"/>
      <c r="EQ290" s="175"/>
      <c r="ER290" s="175"/>
      <c r="ES290" s="175"/>
      <c r="ET290" s="175"/>
      <c r="EU290" s="175"/>
      <c r="EV290" s="175"/>
      <c r="EW290" s="175"/>
      <c r="EX290" s="175"/>
      <c r="EY290" s="175"/>
      <c r="EZ290" s="175"/>
      <c r="FA290" s="175"/>
      <c r="FB290" s="175"/>
      <c r="FC290" s="175"/>
      <c r="FD290" s="175"/>
      <c r="FE290" s="175"/>
      <c r="FF290" s="175"/>
      <c r="FG290" s="175"/>
      <c r="FH290" s="175"/>
      <c r="FI290" s="175"/>
      <c r="FJ290" s="175"/>
      <c r="FK290" s="175"/>
      <c r="FL290" s="175"/>
      <c r="FM290" s="175"/>
      <c r="FN290" s="175"/>
      <c r="FO290" s="175"/>
      <c r="FP290" s="175"/>
      <c r="FQ290" s="175"/>
      <c r="FR290" s="175"/>
      <c r="FS290" s="175"/>
      <c r="FT290" s="175"/>
      <c r="FU290" s="175"/>
      <c r="FV290" s="175"/>
      <c r="FW290" s="175"/>
      <c r="FX290" s="175"/>
      <c r="FY290" s="175"/>
      <c r="FZ290" s="175"/>
      <c r="GA290" s="175"/>
      <c r="GB290" s="175"/>
      <c r="GC290" s="175"/>
      <c r="GD290" s="175"/>
      <c r="GE290" s="175"/>
      <c r="GF290" s="175"/>
      <c r="GG290" s="175"/>
      <c r="GH290" s="175"/>
      <c r="GI290" s="175"/>
      <c r="GJ290" s="175"/>
      <c r="GK290" s="175"/>
      <c r="GL290" s="175"/>
      <c r="GM290" s="175"/>
      <c r="GN290" s="175"/>
      <c r="GO290" s="175"/>
      <c r="GP290" s="175"/>
      <c r="GQ290" s="175"/>
      <c r="GR290" s="175"/>
      <c r="GS290" s="175"/>
      <c r="GT290" s="175"/>
      <c r="GU290" s="175"/>
      <c r="GV290" s="175"/>
      <c r="GW290" s="175"/>
      <c r="GX290" s="175"/>
      <c r="GY290" s="175"/>
      <c r="GZ290" s="175"/>
      <c r="HA290" s="175"/>
      <c r="HB290" s="175"/>
      <c r="HC290" s="175"/>
      <c r="HD290" s="175"/>
      <c r="HE290" s="175"/>
      <c r="HF290" s="175"/>
      <c r="HG290" s="175"/>
      <c r="HH290" s="175"/>
      <c r="HI290" s="175"/>
      <c r="HJ290" s="175"/>
      <c r="HK290" s="175"/>
      <c r="HL290" s="175"/>
      <c r="HM290" s="175"/>
      <c r="HN290" s="175"/>
      <c r="HO290" s="175"/>
      <c r="HP290" s="175"/>
      <c r="HQ290" s="175"/>
      <c r="HR290" s="175"/>
      <c r="HS290" s="175"/>
      <c r="HT290" s="175"/>
      <c r="HU290" s="175"/>
      <c r="HV290" s="175"/>
      <c r="HW290" s="175"/>
      <c r="HX290" s="175"/>
      <c r="HY290" s="175"/>
      <c r="HZ290" s="175"/>
      <c r="IA290" s="175"/>
      <c r="IB290" s="175"/>
      <c r="IC290" s="175"/>
      <c r="ID290" s="175"/>
      <c r="IE290" s="175"/>
      <c r="IF290" s="175"/>
      <c r="IG290" s="175"/>
      <c r="IH290" s="175"/>
      <c r="II290" s="175"/>
      <c r="IJ290" s="175"/>
      <c r="IK290" s="175"/>
      <c r="IL290" s="175"/>
      <c r="IM290" s="175"/>
      <c r="IN290" s="175"/>
      <c r="IO290" s="175"/>
      <c r="IP290" s="175"/>
      <c r="IQ290" s="175"/>
      <c r="IR290" s="175"/>
      <c r="IS290" s="175"/>
      <c r="IT290" s="175"/>
      <c r="IU290" s="175"/>
      <c r="IV290" s="175"/>
      <c r="IW290" s="175"/>
      <c r="IX290" s="175"/>
      <c r="IY290" s="175"/>
      <c r="IZ290" s="175"/>
      <c r="JA290" s="175"/>
      <c r="JB290" s="175"/>
      <c r="JC290" s="175"/>
      <c r="JD290" s="175"/>
      <c r="JE290" s="175"/>
      <c r="JF290" s="175"/>
      <c r="JG290" s="175"/>
      <c r="JH290" s="175"/>
      <c r="JI290" s="175"/>
      <c r="JJ290" s="175"/>
      <c r="JK290" s="175"/>
      <c r="JL290" s="175"/>
      <c r="JM290" s="175"/>
      <c r="JN290" s="175"/>
      <c r="JO290" s="175"/>
      <c r="JP290" s="175"/>
      <c r="JQ290" s="175"/>
      <c r="JR290" s="175"/>
      <c r="JS290" s="175"/>
      <c r="JT290" s="175"/>
      <c r="JU290" s="175"/>
      <c r="JV290" s="175"/>
      <c r="JW290" s="175"/>
      <c r="JX290" s="175"/>
      <c r="JY290" s="175"/>
      <c r="JZ290" s="175"/>
      <c r="KA290" s="175"/>
      <c r="KB290" s="175"/>
      <c r="KC290" s="175"/>
      <c r="KD290" s="175"/>
      <c r="KE290" s="175"/>
      <c r="KF290" s="175"/>
      <c r="KG290" s="175"/>
      <c r="KH290" s="175"/>
      <c r="KI290" s="175"/>
      <c r="KJ290" s="175"/>
      <c r="KK290" s="175"/>
      <c r="KL290" s="175"/>
      <c r="KM290" s="175"/>
      <c r="KN290" s="175"/>
      <c r="KO290" s="175"/>
      <c r="KP290" s="175"/>
      <c r="KQ290" s="175"/>
      <c r="KR290" s="175"/>
      <c r="KS290" s="175"/>
      <c r="KT290" s="175"/>
      <c r="KU290" s="175"/>
    </row>
    <row r="291" spans="1:307" x14ac:dyDescent="0.2">
      <c r="A291" s="172"/>
      <c r="B291" s="172"/>
      <c r="C291" s="172"/>
      <c r="D291" s="172"/>
      <c r="E291" s="172"/>
      <c r="F291" s="172"/>
      <c r="G291" s="172"/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  <c r="AG291" s="172"/>
      <c r="AH291" s="172"/>
      <c r="AI291" s="172"/>
      <c r="AJ291" s="172"/>
      <c r="AK291" s="172"/>
      <c r="AL291" s="172"/>
      <c r="AM291" s="172"/>
      <c r="AN291" s="172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  <c r="BD291" s="172"/>
      <c r="BE291" s="172"/>
      <c r="BF291" s="172"/>
      <c r="BG291" s="172"/>
      <c r="BH291" s="172"/>
      <c r="BI291" s="172"/>
      <c r="BJ291" s="172"/>
      <c r="BK291" s="172"/>
      <c r="BL291" s="172"/>
      <c r="BM291" s="172"/>
      <c r="BN291" s="172"/>
      <c r="BO291" s="172"/>
      <c r="BP291" s="172"/>
      <c r="BQ291" s="172"/>
      <c r="BR291" s="172"/>
      <c r="BS291" s="172"/>
      <c r="BT291" s="172"/>
      <c r="BU291" s="172"/>
      <c r="BV291" s="172"/>
      <c r="BW291" s="172"/>
      <c r="BX291" s="175"/>
      <c r="BY291" s="175"/>
      <c r="BZ291" s="175"/>
      <c r="CA291" s="175"/>
      <c r="CB291" s="175"/>
      <c r="CC291" s="175"/>
      <c r="CD291" s="175"/>
      <c r="CE291" s="175"/>
      <c r="CF291" s="175"/>
      <c r="CG291" s="175"/>
      <c r="CH291" s="175"/>
      <c r="CI291" s="175"/>
      <c r="CJ291" s="175"/>
      <c r="CK291" s="175"/>
      <c r="CL291" s="175"/>
      <c r="CM291" s="175"/>
      <c r="CN291" s="175"/>
      <c r="CO291" s="175"/>
      <c r="CP291" s="175"/>
      <c r="CQ291" s="175"/>
      <c r="CR291" s="175"/>
      <c r="CS291" s="175"/>
      <c r="CT291" s="175"/>
      <c r="CU291" s="175"/>
      <c r="CV291" s="175"/>
      <c r="CW291" s="175"/>
      <c r="CX291" s="175"/>
      <c r="CY291" s="175"/>
      <c r="CZ291" s="175"/>
      <c r="DA291" s="175"/>
      <c r="DB291" s="175"/>
      <c r="DC291" s="175"/>
      <c r="DD291" s="175"/>
      <c r="DE291" s="175"/>
      <c r="DF291" s="175"/>
      <c r="DG291" s="175"/>
      <c r="DH291" s="175"/>
      <c r="DI291" s="175"/>
      <c r="DJ291" s="175"/>
      <c r="DK291" s="175"/>
      <c r="DL291" s="175"/>
      <c r="DM291" s="175"/>
      <c r="DN291" s="175"/>
      <c r="DO291" s="175"/>
      <c r="DP291" s="175"/>
      <c r="DQ291" s="175"/>
      <c r="DR291" s="175"/>
      <c r="DS291" s="175"/>
      <c r="DT291" s="175"/>
      <c r="DU291" s="175"/>
      <c r="DV291" s="175"/>
      <c r="DW291" s="175"/>
      <c r="DX291" s="175"/>
      <c r="DY291" s="175"/>
      <c r="DZ291" s="175"/>
      <c r="EA291" s="175"/>
      <c r="EB291" s="175"/>
      <c r="EC291" s="175"/>
      <c r="ED291" s="175"/>
      <c r="EE291" s="175"/>
      <c r="EF291" s="175"/>
      <c r="EG291" s="175"/>
      <c r="EH291" s="175"/>
      <c r="EI291" s="175"/>
      <c r="EJ291" s="175"/>
      <c r="EK291" s="175"/>
      <c r="EL291" s="175"/>
      <c r="EM291" s="175"/>
      <c r="EN291" s="175"/>
      <c r="EO291" s="175"/>
      <c r="EP291" s="175"/>
      <c r="EQ291" s="175"/>
      <c r="ER291" s="175"/>
      <c r="ES291" s="175"/>
      <c r="ET291" s="175"/>
      <c r="EU291" s="175"/>
      <c r="EV291" s="175"/>
      <c r="EW291" s="175"/>
      <c r="EX291" s="175"/>
      <c r="EY291" s="175"/>
      <c r="EZ291" s="175"/>
      <c r="FA291" s="175"/>
      <c r="FB291" s="175"/>
      <c r="FC291" s="175"/>
      <c r="FD291" s="175"/>
      <c r="FE291" s="175"/>
      <c r="FF291" s="175"/>
      <c r="FG291" s="175"/>
      <c r="FH291" s="175"/>
      <c r="FI291" s="175"/>
      <c r="FJ291" s="175"/>
      <c r="FK291" s="175"/>
      <c r="FL291" s="175"/>
      <c r="FM291" s="175"/>
      <c r="FN291" s="175"/>
      <c r="FO291" s="175"/>
      <c r="FP291" s="175"/>
      <c r="FQ291" s="175"/>
      <c r="FR291" s="175"/>
      <c r="FS291" s="175"/>
      <c r="FT291" s="175"/>
      <c r="FU291" s="175"/>
      <c r="FV291" s="175"/>
      <c r="FW291" s="175"/>
      <c r="FX291" s="175"/>
      <c r="FY291" s="175"/>
      <c r="FZ291" s="175"/>
      <c r="GA291" s="175"/>
      <c r="GB291" s="175"/>
      <c r="GC291" s="175"/>
      <c r="GD291" s="175"/>
      <c r="GE291" s="175"/>
      <c r="GF291" s="175"/>
      <c r="GG291" s="175"/>
      <c r="GH291" s="175"/>
      <c r="GI291" s="175"/>
      <c r="GJ291" s="175"/>
      <c r="GK291" s="175"/>
      <c r="GL291" s="175"/>
      <c r="GM291" s="175"/>
      <c r="GN291" s="175"/>
      <c r="GO291" s="175"/>
      <c r="GP291" s="175"/>
      <c r="GQ291" s="175"/>
      <c r="GR291" s="175"/>
      <c r="GS291" s="175"/>
      <c r="GT291" s="175"/>
      <c r="GU291" s="175"/>
      <c r="GV291" s="175"/>
      <c r="GW291" s="175"/>
      <c r="GX291" s="175"/>
      <c r="GY291" s="175"/>
      <c r="GZ291" s="175"/>
      <c r="HA291" s="175"/>
      <c r="HB291" s="175"/>
      <c r="HC291" s="175"/>
      <c r="HD291" s="175"/>
      <c r="HE291" s="175"/>
      <c r="HF291" s="175"/>
      <c r="HG291" s="175"/>
      <c r="HH291" s="175"/>
      <c r="HI291" s="175"/>
      <c r="HJ291" s="175"/>
      <c r="HK291" s="175"/>
      <c r="HL291" s="175"/>
      <c r="HM291" s="175"/>
      <c r="HN291" s="175"/>
      <c r="HO291" s="175"/>
      <c r="HP291" s="175"/>
      <c r="HQ291" s="175"/>
      <c r="HR291" s="175"/>
      <c r="HS291" s="175"/>
      <c r="HT291" s="175"/>
      <c r="HU291" s="175"/>
      <c r="HV291" s="175"/>
      <c r="HW291" s="175"/>
      <c r="HX291" s="175"/>
      <c r="HY291" s="175"/>
      <c r="HZ291" s="175"/>
      <c r="IA291" s="175"/>
      <c r="IB291" s="175"/>
      <c r="IC291" s="175"/>
      <c r="ID291" s="175"/>
      <c r="IE291" s="175"/>
      <c r="IF291" s="175"/>
      <c r="IG291" s="175"/>
      <c r="IH291" s="175"/>
      <c r="II291" s="175"/>
      <c r="IJ291" s="175"/>
      <c r="IK291" s="175"/>
      <c r="IL291" s="175"/>
      <c r="IM291" s="175"/>
      <c r="IN291" s="175"/>
      <c r="IO291" s="175"/>
      <c r="IP291" s="175"/>
      <c r="IQ291" s="175"/>
      <c r="IR291" s="175"/>
      <c r="IS291" s="175"/>
      <c r="IT291" s="175"/>
      <c r="IU291" s="175"/>
      <c r="IV291" s="175"/>
      <c r="IW291" s="175"/>
      <c r="IX291" s="175"/>
      <c r="IY291" s="175"/>
      <c r="IZ291" s="175"/>
      <c r="JA291" s="175"/>
      <c r="JB291" s="175"/>
      <c r="JC291" s="175"/>
      <c r="JD291" s="175"/>
      <c r="JE291" s="175"/>
      <c r="JF291" s="175"/>
      <c r="JG291" s="175"/>
      <c r="JH291" s="175"/>
      <c r="JI291" s="175"/>
      <c r="JJ291" s="175"/>
      <c r="JK291" s="175"/>
      <c r="JL291" s="175"/>
      <c r="JM291" s="175"/>
      <c r="JN291" s="175"/>
      <c r="JO291" s="175"/>
      <c r="JP291" s="175"/>
      <c r="JQ291" s="175"/>
      <c r="JR291" s="175"/>
      <c r="JS291" s="175"/>
      <c r="JT291" s="175"/>
      <c r="JU291" s="175"/>
      <c r="JV291" s="175"/>
      <c r="JW291" s="175"/>
      <c r="JX291" s="175"/>
      <c r="JY291" s="175"/>
      <c r="JZ291" s="175"/>
      <c r="KA291" s="175"/>
      <c r="KB291" s="175"/>
      <c r="KC291" s="175"/>
      <c r="KD291" s="175"/>
      <c r="KE291" s="175"/>
      <c r="KF291" s="175"/>
      <c r="KG291" s="175"/>
      <c r="KH291" s="175"/>
      <c r="KI291" s="175"/>
      <c r="KJ291" s="175"/>
      <c r="KK291" s="175"/>
      <c r="KL291" s="175"/>
      <c r="KM291" s="175"/>
      <c r="KN291" s="175"/>
      <c r="KO291" s="175"/>
      <c r="KP291" s="175"/>
      <c r="KQ291" s="175"/>
      <c r="KR291" s="175"/>
      <c r="KS291" s="175"/>
      <c r="KT291" s="175"/>
      <c r="KU291" s="175"/>
    </row>
    <row r="292" spans="1:307" x14ac:dyDescent="0.2">
      <c r="A292" s="172"/>
      <c r="B292" s="172"/>
      <c r="C292" s="172"/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  <c r="BE292" s="172"/>
      <c r="BF292" s="172"/>
      <c r="BG292" s="172"/>
      <c r="BH292" s="172"/>
      <c r="BI292" s="172"/>
      <c r="BJ292" s="172"/>
      <c r="BK292" s="172"/>
      <c r="BL292" s="172"/>
      <c r="BM292" s="172"/>
      <c r="BN292" s="172"/>
      <c r="BO292" s="172"/>
      <c r="BP292" s="172"/>
      <c r="BQ292" s="172"/>
      <c r="BR292" s="172"/>
      <c r="BS292" s="172"/>
      <c r="BT292" s="172"/>
      <c r="BU292" s="172"/>
      <c r="BV292" s="172"/>
      <c r="BW292" s="172"/>
      <c r="BX292" s="175"/>
      <c r="BY292" s="175"/>
      <c r="BZ292" s="175"/>
      <c r="CA292" s="175"/>
      <c r="CB292" s="175"/>
      <c r="CC292" s="175"/>
      <c r="CD292" s="175"/>
      <c r="CE292" s="175"/>
      <c r="CF292" s="175"/>
      <c r="CG292" s="175"/>
      <c r="CH292" s="175"/>
      <c r="CI292" s="175"/>
      <c r="CJ292" s="175"/>
      <c r="CK292" s="175"/>
      <c r="CL292" s="175"/>
      <c r="CM292" s="175"/>
      <c r="CN292" s="175"/>
      <c r="CO292" s="175"/>
      <c r="CP292" s="175"/>
      <c r="CQ292" s="175"/>
      <c r="CR292" s="175"/>
      <c r="CS292" s="175"/>
      <c r="CT292" s="175"/>
      <c r="CU292" s="175"/>
      <c r="CV292" s="175"/>
      <c r="CW292" s="175"/>
      <c r="CX292" s="175"/>
      <c r="CY292" s="175"/>
      <c r="CZ292" s="175"/>
      <c r="DA292" s="175"/>
      <c r="DB292" s="175"/>
      <c r="DC292" s="175"/>
      <c r="DD292" s="175"/>
      <c r="DE292" s="175"/>
      <c r="DF292" s="175"/>
      <c r="DG292" s="175"/>
      <c r="DH292" s="175"/>
      <c r="DI292" s="175"/>
      <c r="DJ292" s="175"/>
      <c r="DK292" s="175"/>
      <c r="DL292" s="175"/>
      <c r="DM292" s="175"/>
      <c r="DN292" s="175"/>
      <c r="DO292" s="175"/>
      <c r="DP292" s="175"/>
      <c r="DQ292" s="175"/>
      <c r="DR292" s="175"/>
      <c r="DS292" s="175"/>
      <c r="DT292" s="175"/>
      <c r="DU292" s="175"/>
      <c r="DV292" s="175"/>
      <c r="DW292" s="175"/>
      <c r="DX292" s="175"/>
      <c r="DY292" s="175"/>
      <c r="DZ292" s="175"/>
      <c r="EA292" s="175"/>
      <c r="EB292" s="175"/>
      <c r="EC292" s="175"/>
      <c r="ED292" s="175"/>
      <c r="EE292" s="175"/>
      <c r="EF292" s="175"/>
      <c r="EG292" s="175"/>
      <c r="EH292" s="175"/>
      <c r="EI292" s="175"/>
      <c r="EJ292" s="175"/>
      <c r="EK292" s="175"/>
      <c r="EL292" s="175"/>
      <c r="EM292" s="175"/>
      <c r="EN292" s="175"/>
      <c r="EO292" s="175"/>
      <c r="EP292" s="175"/>
      <c r="EQ292" s="175"/>
      <c r="ER292" s="175"/>
      <c r="ES292" s="175"/>
      <c r="ET292" s="175"/>
      <c r="EU292" s="175"/>
      <c r="EV292" s="175"/>
      <c r="EW292" s="175"/>
      <c r="EX292" s="175"/>
      <c r="EY292" s="175"/>
      <c r="EZ292" s="175"/>
      <c r="FA292" s="175"/>
      <c r="FB292" s="175"/>
      <c r="FC292" s="175"/>
      <c r="FD292" s="175"/>
      <c r="FE292" s="175"/>
      <c r="FF292" s="175"/>
      <c r="FG292" s="175"/>
      <c r="FH292" s="175"/>
      <c r="FI292" s="175"/>
      <c r="FJ292" s="175"/>
      <c r="FK292" s="175"/>
      <c r="FL292" s="175"/>
      <c r="FM292" s="175"/>
      <c r="FN292" s="175"/>
      <c r="FO292" s="175"/>
      <c r="FP292" s="175"/>
      <c r="FQ292" s="175"/>
      <c r="FR292" s="175"/>
      <c r="FS292" s="175"/>
      <c r="FT292" s="175"/>
      <c r="FU292" s="175"/>
      <c r="FV292" s="175"/>
      <c r="FW292" s="175"/>
      <c r="FX292" s="175"/>
      <c r="FY292" s="175"/>
      <c r="FZ292" s="175"/>
      <c r="GA292" s="175"/>
      <c r="GB292" s="175"/>
      <c r="GC292" s="175"/>
      <c r="GD292" s="175"/>
      <c r="GE292" s="175"/>
      <c r="GF292" s="175"/>
      <c r="GG292" s="175"/>
      <c r="GH292" s="175"/>
      <c r="GI292" s="175"/>
      <c r="GJ292" s="175"/>
      <c r="GK292" s="175"/>
      <c r="GL292" s="175"/>
      <c r="GM292" s="175"/>
      <c r="GN292" s="175"/>
      <c r="GO292" s="175"/>
      <c r="GP292" s="175"/>
      <c r="GQ292" s="175"/>
      <c r="GR292" s="175"/>
      <c r="GS292" s="175"/>
      <c r="GT292" s="175"/>
      <c r="GU292" s="175"/>
      <c r="GV292" s="175"/>
      <c r="GW292" s="175"/>
      <c r="GX292" s="175"/>
      <c r="GY292" s="175"/>
      <c r="GZ292" s="175"/>
      <c r="HA292" s="175"/>
      <c r="HB292" s="175"/>
      <c r="HC292" s="175"/>
      <c r="HD292" s="175"/>
      <c r="HE292" s="175"/>
      <c r="HF292" s="175"/>
      <c r="HG292" s="175"/>
      <c r="HH292" s="175"/>
      <c r="HI292" s="175"/>
      <c r="HJ292" s="175"/>
      <c r="HK292" s="175"/>
      <c r="HL292" s="175"/>
      <c r="HM292" s="175"/>
      <c r="HN292" s="175"/>
      <c r="HO292" s="175"/>
      <c r="HP292" s="175"/>
      <c r="HQ292" s="175"/>
      <c r="HR292" s="175"/>
      <c r="HS292" s="175"/>
      <c r="HT292" s="175"/>
      <c r="HU292" s="175"/>
      <c r="HV292" s="175"/>
      <c r="HW292" s="175"/>
      <c r="HX292" s="175"/>
      <c r="HY292" s="175"/>
      <c r="HZ292" s="175"/>
      <c r="IA292" s="175"/>
      <c r="IB292" s="175"/>
      <c r="IC292" s="175"/>
      <c r="ID292" s="175"/>
      <c r="IE292" s="175"/>
      <c r="IF292" s="175"/>
      <c r="IG292" s="175"/>
      <c r="IH292" s="175"/>
      <c r="II292" s="175"/>
      <c r="IJ292" s="175"/>
      <c r="IK292" s="175"/>
      <c r="IL292" s="175"/>
      <c r="IM292" s="175"/>
      <c r="IN292" s="175"/>
      <c r="IO292" s="175"/>
      <c r="IP292" s="175"/>
      <c r="IQ292" s="175"/>
      <c r="IR292" s="175"/>
      <c r="IS292" s="175"/>
      <c r="IT292" s="175"/>
      <c r="IU292" s="175"/>
      <c r="IV292" s="175"/>
      <c r="IW292" s="175"/>
      <c r="IX292" s="175"/>
      <c r="IY292" s="175"/>
      <c r="IZ292" s="175"/>
      <c r="JA292" s="175"/>
      <c r="JB292" s="175"/>
      <c r="JC292" s="175"/>
      <c r="JD292" s="175"/>
      <c r="JE292" s="175"/>
      <c r="JF292" s="175"/>
      <c r="JG292" s="175"/>
      <c r="JH292" s="175"/>
      <c r="JI292" s="175"/>
      <c r="JJ292" s="175"/>
      <c r="JK292" s="175"/>
      <c r="JL292" s="175"/>
      <c r="JM292" s="175"/>
      <c r="JN292" s="175"/>
      <c r="JO292" s="175"/>
      <c r="JP292" s="175"/>
      <c r="JQ292" s="175"/>
      <c r="JR292" s="175"/>
      <c r="JS292" s="175"/>
      <c r="JT292" s="175"/>
      <c r="JU292" s="175"/>
      <c r="JV292" s="175"/>
      <c r="JW292" s="175"/>
      <c r="JX292" s="175"/>
      <c r="JY292" s="175"/>
      <c r="JZ292" s="175"/>
      <c r="KA292" s="175"/>
      <c r="KB292" s="175"/>
      <c r="KC292" s="175"/>
      <c r="KD292" s="175"/>
      <c r="KE292" s="175"/>
      <c r="KF292" s="175"/>
      <c r="KG292" s="175"/>
      <c r="KH292" s="175"/>
      <c r="KI292" s="175"/>
      <c r="KJ292" s="175"/>
      <c r="KK292" s="175"/>
      <c r="KL292" s="175"/>
      <c r="KM292" s="175"/>
      <c r="KN292" s="175"/>
      <c r="KO292" s="175"/>
      <c r="KP292" s="175"/>
      <c r="KQ292" s="175"/>
      <c r="KR292" s="175"/>
      <c r="KS292" s="175"/>
      <c r="KT292" s="175"/>
      <c r="KU292" s="175"/>
    </row>
    <row r="293" spans="1:307" x14ac:dyDescent="0.2">
      <c r="A293" s="172"/>
      <c r="B293" s="172"/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  <c r="AP293" s="172"/>
      <c r="AQ293" s="172"/>
      <c r="AR293" s="172"/>
      <c r="AS293" s="172"/>
      <c r="AT293" s="172"/>
      <c r="AU293" s="172"/>
      <c r="AV293" s="172"/>
      <c r="AW293" s="172"/>
      <c r="AX293" s="172"/>
      <c r="AY293" s="172"/>
      <c r="AZ293" s="172"/>
      <c r="BA293" s="172"/>
      <c r="BB293" s="172"/>
      <c r="BC293" s="172"/>
      <c r="BD293" s="172"/>
      <c r="BE293" s="172"/>
      <c r="BF293" s="172"/>
      <c r="BG293" s="172"/>
      <c r="BH293" s="172"/>
      <c r="BI293" s="172"/>
      <c r="BJ293" s="172"/>
      <c r="BK293" s="172"/>
      <c r="BL293" s="172"/>
      <c r="BM293" s="172"/>
      <c r="BN293" s="172"/>
      <c r="BO293" s="172"/>
      <c r="BP293" s="172"/>
      <c r="BQ293" s="172"/>
      <c r="BR293" s="172"/>
      <c r="BS293" s="172"/>
      <c r="BT293" s="172"/>
      <c r="BU293" s="172"/>
      <c r="BV293" s="172"/>
      <c r="BW293" s="172"/>
      <c r="BX293" s="175"/>
      <c r="BY293" s="175"/>
      <c r="BZ293" s="175"/>
      <c r="CA293" s="175"/>
      <c r="CB293" s="175"/>
      <c r="CC293" s="175"/>
      <c r="CD293" s="175"/>
      <c r="CE293" s="175"/>
      <c r="CF293" s="175"/>
      <c r="CG293" s="175"/>
      <c r="CH293" s="175"/>
      <c r="CI293" s="175"/>
      <c r="CJ293" s="175"/>
      <c r="CK293" s="175"/>
      <c r="CL293" s="175"/>
      <c r="CM293" s="175"/>
      <c r="CN293" s="175"/>
      <c r="CO293" s="175"/>
      <c r="CP293" s="175"/>
      <c r="CQ293" s="175"/>
      <c r="CR293" s="175"/>
      <c r="CS293" s="175"/>
      <c r="CT293" s="175"/>
      <c r="CU293" s="175"/>
      <c r="CV293" s="175"/>
      <c r="CW293" s="175"/>
      <c r="CX293" s="175"/>
      <c r="CY293" s="175"/>
      <c r="CZ293" s="175"/>
      <c r="DA293" s="175"/>
      <c r="DB293" s="175"/>
      <c r="DC293" s="175"/>
      <c r="DD293" s="175"/>
      <c r="DE293" s="175"/>
      <c r="DF293" s="175"/>
      <c r="DG293" s="175"/>
      <c r="DH293" s="175"/>
      <c r="DI293" s="175"/>
      <c r="DJ293" s="175"/>
      <c r="DK293" s="175"/>
      <c r="DL293" s="175"/>
      <c r="DM293" s="175"/>
      <c r="DN293" s="175"/>
      <c r="DO293" s="175"/>
      <c r="DP293" s="175"/>
      <c r="DQ293" s="175"/>
      <c r="DR293" s="175"/>
      <c r="DS293" s="175"/>
      <c r="DT293" s="175"/>
      <c r="DU293" s="175"/>
      <c r="DV293" s="175"/>
      <c r="DW293" s="175"/>
      <c r="DX293" s="175"/>
      <c r="DY293" s="175"/>
      <c r="DZ293" s="175"/>
      <c r="EA293" s="175"/>
      <c r="EB293" s="175"/>
      <c r="EC293" s="175"/>
      <c r="ED293" s="175"/>
      <c r="EE293" s="175"/>
      <c r="EF293" s="175"/>
      <c r="EG293" s="175"/>
      <c r="EH293" s="175"/>
      <c r="EI293" s="175"/>
      <c r="EJ293" s="175"/>
      <c r="EK293" s="175"/>
      <c r="EL293" s="175"/>
      <c r="EM293" s="175"/>
      <c r="EN293" s="175"/>
      <c r="EO293" s="175"/>
      <c r="EP293" s="175"/>
      <c r="EQ293" s="175"/>
      <c r="ER293" s="175"/>
      <c r="ES293" s="175"/>
      <c r="ET293" s="175"/>
      <c r="EU293" s="175"/>
      <c r="EV293" s="175"/>
      <c r="EW293" s="175"/>
      <c r="EX293" s="175"/>
      <c r="EY293" s="175"/>
      <c r="EZ293" s="175"/>
      <c r="FA293" s="175"/>
      <c r="FB293" s="175"/>
      <c r="FC293" s="175"/>
      <c r="FD293" s="175"/>
      <c r="FE293" s="175"/>
      <c r="FF293" s="175"/>
      <c r="FG293" s="175"/>
      <c r="FH293" s="175"/>
      <c r="FI293" s="175"/>
      <c r="FJ293" s="175"/>
      <c r="FK293" s="175"/>
      <c r="FL293" s="175"/>
      <c r="FM293" s="175"/>
      <c r="FN293" s="175"/>
      <c r="FO293" s="175"/>
      <c r="FP293" s="175"/>
      <c r="FQ293" s="175"/>
      <c r="FR293" s="175"/>
      <c r="FS293" s="175"/>
      <c r="FT293" s="175"/>
      <c r="FU293" s="175"/>
      <c r="FV293" s="175"/>
      <c r="FW293" s="175"/>
      <c r="FX293" s="175"/>
      <c r="FY293" s="175"/>
      <c r="FZ293" s="175"/>
      <c r="GA293" s="175"/>
      <c r="GB293" s="175"/>
      <c r="GC293" s="175"/>
      <c r="GD293" s="175"/>
      <c r="GE293" s="175"/>
      <c r="GF293" s="175"/>
      <c r="GG293" s="175"/>
      <c r="GH293" s="175"/>
      <c r="GI293" s="175"/>
      <c r="GJ293" s="175"/>
      <c r="GK293" s="175"/>
      <c r="GL293" s="175"/>
      <c r="GM293" s="175"/>
      <c r="GN293" s="175"/>
      <c r="GO293" s="175"/>
      <c r="GP293" s="175"/>
      <c r="GQ293" s="175"/>
      <c r="GR293" s="175"/>
      <c r="GS293" s="175"/>
      <c r="GT293" s="175"/>
      <c r="GU293" s="175"/>
      <c r="GV293" s="175"/>
      <c r="GW293" s="175"/>
      <c r="GX293" s="175"/>
      <c r="GY293" s="175"/>
      <c r="GZ293" s="175"/>
      <c r="HA293" s="175"/>
      <c r="HB293" s="175"/>
      <c r="HC293" s="175"/>
      <c r="HD293" s="175"/>
      <c r="HE293" s="175"/>
      <c r="HF293" s="175"/>
      <c r="HG293" s="175"/>
      <c r="HH293" s="175"/>
      <c r="HI293" s="175"/>
      <c r="HJ293" s="175"/>
      <c r="HK293" s="175"/>
      <c r="HL293" s="175"/>
      <c r="HM293" s="175"/>
      <c r="HN293" s="175"/>
      <c r="HO293" s="175"/>
      <c r="HP293" s="175"/>
      <c r="HQ293" s="175"/>
      <c r="HR293" s="175"/>
      <c r="HS293" s="175"/>
      <c r="HT293" s="175"/>
      <c r="HU293" s="175"/>
      <c r="HV293" s="175"/>
      <c r="HW293" s="175"/>
      <c r="HX293" s="175"/>
      <c r="HY293" s="175"/>
      <c r="HZ293" s="175"/>
      <c r="IA293" s="175"/>
      <c r="IB293" s="175"/>
      <c r="IC293" s="175"/>
      <c r="ID293" s="175"/>
      <c r="IE293" s="175"/>
      <c r="IF293" s="175"/>
      <c r="IG293" s="175"/>
      <c r="IH293" s="175"/>
      <c r="II293" s="175"/>
      <c r="IJ293" s="175"/>
      <c r="IK293" s="175"/>
      <c r="IL293" s="175"/>
      <c r="IM293" s="175"/>
      <c r="IN293" s="175"/>
      <c r="IO293" s="175"/>
      <c r="IP293" s="175"/>
      <c r="IQ293" s="175"/>
      <c r="IR293" s="175"/>
      <c r="IS293" s="175"/>
      <c r="IT293" s="175"/>
      <c r="IU293" s="175"/>
      <c r="IV293" s="175"/>
      <c r="IW293" s="175"/>
      <c r="IX293" s="175"/>
      <c r="IY293" s="175"/>
      <c r="IZ293" s="175"/>
      <c r="JA293" s="175"/>
      <c r="JB293" s="175"/>
      <c r="JC293" s="175"/>
      <c r="JD293" s="175"/>
      <c r="JE293" s="175"/>
      <c r="JF293" s="175"/>
      <c r="JG293" s="175"/>
      <c r="JH293" s="175"/>
      <c r="JI293" s="175"/>
      <c r="JJ293" s="175"/>
      <c r="JK293" s="175"/>
      <c r="JL293" s="175"/>
      <c r="JM293" s="175"/>
      <c r="JN293" s="175"/>
      <c r="JO293" s="175"/>
      <c r="JP293" s="175"/>
      <c r="JQ293" s="175"/>
      <c r="JR293" s="175"/>
      <c r="JS293" s="175"/>
      <c r="JT293" s="175"/>
      <c r="JU293" s="175"/>
      <c r="JV293" s="175"/>
      <c r="JW293" s="175"/>
      <c r="JX293" s="175"/>
      <c r="JY293" s="175"/>
      <c r="JZ293" s="175"/>
      <c r="KA293" s="175"/>
      <c r="KB293" s="175"/>
      <c r="KC293" s="175"/>
      <c r="KD293" s="175"/>
      <c r="KE293" s="175"/>
      <c r="KF293" s="175"/>
      <c r="KG293" s="175"/>
      <c r="KH293" s="175"/>
      <c r="KI293" s="175"/>
      <c r="KJ293" s="175"/>
      <c r="KK293" s="175"/>
      <c r="KL293" s="175"/>
      <c r="KM293" s="175"/>
      <c r="KN293" s="175"/>
      <c r="KO293" s="175"/>
      <c r="KP293" s="175"/>
      <c r="KQ293" s="175"/>
      <c r="KR293" s="175"/>
      <c r="KS293" s="175"/>
      <c r="KT293" s="175"/>
      <c r="KU293" s="175"/>
    </row>
    <row r="294" spans="1:307" x14ac:dyDescent="0.2">
      <c r="A294" s="172"/>
      <c r="B294" s="172"/>
      <c r="C294" s="172"/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  <c r="AP294" s="172"/>
      <c r="AQ294" s="172"/>
      <c r="AR294" s="172"/>
      <c r="AS294" s="172"/>
      <c r="AT294" s="172"/>
      <c r="AU294" s="172"/>
      <c r="AV294" s="172"/>
      <c r="AW294" s="172"/>
      <c r="AX294" s="172"/>
      <c r="AY294" s="172"/>
      <c r="AZ294" s="172"/>
      <c r="BA294" s="172"/>
      <c r="BB294" s="172"/>
      <c r="BC294" s="172"/>
      <c r="BD294" s="172"/>
      <c r="BE294" s="172"/>
      <c r="BF294" s="172"/>
      <c r="BG294" s="172"/>
      <c r="BH294" s="172"/>
      <c r="BI294" s="172"/>
      <c r="BJ294" s="172"/>
      <c r="BK294" s="172"/>
      <c r="BL294" s="172"/>
      <c r="BM294" s="172"/>
      <c r="BN294" s="172"/>
      <c r="BO294" s="172"/>
      <c r="BP294" s="172"/>
      <c r="BQ294" s="172"/>
      <c r="BR294" s="172"/>
      <c r="BS294" s="172"/>
      <c r="BT294" s="172"/>
      <c r="BU294" s="172"/>
      <c r="BV294" s="172"/>
      <c r="BW294" s="172"/>
      <c r="BX294" s="175"/>
      <c r="BY294" s="175"/>
      <c r="BZ294" s="175"/>
      <c r="CA294" s="175"/>
      <c r="CB294" s="175"/>
      <c r="CC294" s="175"/>
      <c r="CD294" s="175"/>
      <c r="CE294" s="175"/>
      <c r="CF294" s="175"/>
      <c r="CG294" s="175"/>
      <c r="CH294" s="175"/>
      <c r="CI294" s="175"/>
      <c r="CJ294" s="175"/>
      <c r="CK294" s="175"/>
      <c r="CL294" s="175"/>
      <c r="CM294" s="175"/>
      <c r="CN294" s="175"/>
      <c r="CO294" s="175"/>
      <c r="CP294" s="175"/>
      <c r="CQ294" s="175"/>
      <c r="CR294" s="175"/>
      <c r="CS294" s="175"/>
      <c r="CT294" s="175"/>
      <c r="CU294" s="175"/>
      <c r="CV294" s="175"/>
      <c r="CW294" s="175"/>
      <c r="CX294" s="175"/>
      <c r="CY294" s="175"/>
      <c r="CZ294" s="175"/>
      <c r="DA294" s="175"/>
      <c r="DB294" s="175"/>
      <c r="DC294" s="175"/>
      <c r="DD294" s="175"/>
      <c r="DE294" s="175"/>
      <c r="DF294" s="175"/>
      <c r="DG294" s="175"/>
      <c r="DH294" s="175"/>
      <c r="DI294" s="175"/>
      <c r="DJ294" s="175"/>
      <c r="DK294" s="175"/>
      <c r="DL294" s="175"/>
      <c r="DM294" s="175"/>
      <c r="DN294" s="175"/>
      <c r="DO294" s="175"/>
      <c r="DP294" s="175"/>
      <c r="DQ294" s="175"/>
      <c r="DR294" s="175"/>
      <c r="DS294" s="175"/>
      <c r="DT294" s="175"/>
      <c r="DU294" s="175"/>
      <c r="DV294" s="175"/>
      <c r="DW294" s="175"/>
      <c r="DX294" s="175"/>
      <c r="DY294" s="175"/>
      <c r="DZ294" s="175"/>
      <c r="EA294" s="175"/>
      <c r="EB294" s="175"/>
      <c r="EC294" s="175"/>
      <c r="ED294" s="175"/>
      <c r="EE294" s="175"/>
      <c r="EF294" s="175"/>
      <c r="EG294" s="175"/>
      <c r="EH294" s="175"/>
      <c r="EI294" s="175"/>
      <c r="EJ294" s="175"/>
      <c r="EK294" s="175"/>
      <c r="EL294" s="175"/>
      <c r="EM294" s="175"/>
      <c r="EN294" s="175"/>
      <c r="EO294" s="175"/>
      <c r="EP294" s="175"/>
      <c r="EQ294" s="175"/>
      <c r="ER294" s="175"/>
      <c r="ES294" s="175"/>
      <c r="ET294" s="175"/>
      <c r="EU294" s="175"/>
      <c r="EV294" s="175"/>
      <c r="EW294" s="175"/>
      <c r="EX294" s="175"/>
      <c r="EY294" s="175"/>
      <c r="EZ294" s="175"/>
      <c r="FA294" s="175"/>
      <c r="FB294" s="175"/>
      <c r="FC294" s="175"/>
      <c r="FD294" s="175"/>
      <c r="FE294" s="175"/>
      <c r="FF294" s="175"/>
      <c r="FG294" s="175"/>
      <c r="FH294" s="175"/>
      <c r="FI294" s="175"/>
      <c r="FJ294" s="175"/>
      <c r="FK294" s="175"/>
      <c r="FL294" s="175"/>
      <c r="FM294" s="175"/>
      <c r="FN294" s="175"/>
      <c r="FO294" s="175"/>
      <c r="FP294" s="175"/>
      <c r="FQ294" s="175"/>
      <c r="FR294" s="175"/>
      <c r="FS294" s="175"/>
      <c r="FT294" s="175"/>
      <c r="FU294" s="175"/>
      <c r="FV294" s="175"/>
      <c r="FW294" s="175"/>
      <c r="FX294" s="175"/>
      <c r="FY294" s="175"/>
      <c r="FZ294" s="175"/>
      <c r="GA294" s="175"/>
      <c r="GB294" s="175"/>
      <c r="GC294" s="175"/>
      <c r="GD294" s="175"/>
      <c r="GE294" s="175"/>
      <c r="GF294" s="175"/>
      <c r="GG294" s="175"/>
      <c r="GH294" s="175"/>
      <c r="GI294" s="175"/>
      <c r="GJ294" s="175"/>
      <c r="GK294" s="175"/>
      <c r="GL294" s="175"/>
      <c r="GM294" s="175"/>
      <c r="GN294" s="175"/>
      <c r="GO294" s="175"/>
      <c r="GP294" s="175"/>
      <c r="GQ294" s="175"/>
      <c r="GR294" s="175"/>
      <c r="GS294" s="175"/>
      <c r="GT294" s="175"/>
      <c r="GU294" s="175"/>
      <c r="GV294" s="175"/>
      <c r="GW294" s="175"/>
      <c r="GX294" s="175"/>
      <c r="GY294" s="175"/>
      <c r="GZ294" s="175"/>
      <c r="HA294" s="175"/>
      <c r="HB294" s="175"/>
      <c r="HC294" s="175"/>
      <c r="HD294" s="175"/>
      <c r="HE294" s="175"/>
      <c r="HF294" s="175"/>
      <c r="HG294" s="175"/>
      <c r="HH294" s="175"/>
      <c r="HI294" s="175"/>
      <c r="HJ294" s="175"/>
      <c r="HK294" s="175"/>
      <c r="HL294" s="175"/>
      <c r="HM294" s="175"/>
      <c r="HN294" s="175"/>
      <c r="HO294" s="175"/>
      <c r="HP294" s="175"/>
      <c r="HQ294" s="175"/>
      <c r="HR294" s="175"/>
      <c r="HS294" s="175"/>
      <c r="HT294" s="175"/>
      <c r="HU294" s="175"/>
      <c r="HV294" s="175"/>
      <c r="HW294" s="175"/>
      <c r="HX294" s="175"/>
      <c r="HY294" s="175"/>
      <c r="HZ294" s="175"/>
      <c r="IA294" s="175"/>
      <c r="IB294" s="175"/>
      <c r="IC294" s="175"/>
      <c r="ID294" s="175"/>
      <c r="IE294" s="175"/>
      <c r="IF294" s="175"/>
      <c r="IG294" s="175"/>
      <c r="IH294" s="175"/>
      <c r="II294" s="175"/>
      <c r="IJ294" s="175"/>
      <c r="IK294" s="175"/>
      <c r="IL294" s="175"/>
      <c r="IM294" s="175"/>
      <c r="IN294" s="175"/>
      <c r="IO294" s="175"/>
      <c r="IP294" s="175"/>
      <c r="IQ294" s="175"/>
      <c r="IR294" s="175"/>
      <c r="IS294" s="175"/>
      <c r="IT294" s="175"/>
      <c r="IU294" s="175"/>
      <c r="IV294" s="175"/>
      <c r="IW294" s="175"/>
      <c r="IX294" s="175"/>
      <c r="IY294" s="175"/>
      <c r="IZ294" s="175"/>
      <c r="JA294" s="175"/>
      <c r="JB294" s="175"/>
      <c r="JC294" s="175"/>
      <c r="JD294" s="175"/>
      <c r="JE294" s="175"/>
      <c r="JF294" s="175"/>
      <c r="JG294" s="175"/>
      <c r="JH294" s="175"/>
      <c r="JI294" s="175"/>
      <c r="JJ294" s="175"/>
      <c r="JK294" s="175"/>
      <c r="JL294" s="175"/>
      <c r="JM294" s="175"/>
      <c r="JN294" s="175"/>
      <c r="JO294" s="175"/>
      <c r="JP294" s="175"/>
      <c r="JQ294" s="175"/>
      <c r="JR294" s="175"/>
      <c r="JS294" s="175"/>
      <c r="JT294" s="175"/>
      <c r="JU294" s="175"/>
      <c r="JV294" s="175"/>
      <c r="JW294" s="175"/>
      <c r="JX294" s="175"/>
      <c r="JY294" s="175"/>
      <c r="JZ294" s="175"/>
      <c r="KA294" s="175"/>
      <c r="KB294" s="175"/>
      <c r="KC294" s="175"/>
      <c r="KD294" s="175"/>
      <c r="KE294" s="175"/>
      <c r="KF294" s="175"/>
      <c r="KG294" s="175"/>
      <c r="KH294" s="175"/>
      <c r="KI294" s="175"/>
      <c r="KJ294" s="175"/>
      <c r="KK294" s="175"/>
      <c r="KL294" s="175"/>
      <c r="KM294" s="175"/>
      <c r="KN294" s="175"/>
      <c r="KO294" s="175"/>
      <c r="KP294" s="175"/>
      <c r="KQ294" s="175"/>
      <c r="KR294" s="175"/>
      <c r="KS294" s="175"/>
      <c r="KT294" s="175"/>
      <c r="KU294" s="175"/>
    </row>
    <row r="295" spans="1:307" x14ac:dyDescent="0.2">
      <c r="A295" s="172"/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  <c r="AP295" s="172"/>
      <c r="AQ295" s="172"/>
      <c r="AR295" s="172"/>
      <c r="AS295" s="172"/>
      <c r="AT295" s="172"/>
      <c r="AU295" s="172"/>
      <c r="AV295" s="172"/>
      <c r="AW295" s="172"/>
      <c r="AX295" s="172"/>
      <c r="AY295" s="172"/>
      <c r="AZ295" s="172"/>
      <c r="BA295" s="172"/>
      <c r="BB295" s="172"/>
      <c r="BC295" s="172"/>
      <c r="BD295" s="172"/>
      <c r="BE295" s="172"/>
      <c r="BF295" s="172"/>
      <c r="BG295" s="172"/>
      <c r="BH295" s="172"/>
      <c r="BI295" s="172"/>
      <c r="BJ295" s="172"/>
      <c r="BK295" s="172"/>
      <c r="BL295" s="172"/>
      <c r="BM295" s="172"/>
      <c r="BN295" s="172"/>
      <c r="BO295" s="172"/>
      <c r="BP295" s="172"/>
      <c r="BQ295" s="172"/>
      <c r="BR295" s="172"/>
      <c r="BS295" s="172"/>
      <c r="BT295" s="172"/>
      <c r="BU295" s="172"/>
      <c r="BV295" s="172"/>
      <c r="BW295" s="172"/>
      <c r="BX295" s="175"/>
      <c r="BY295" s="175"/>
      <c r="BZ295" s="175"/>
      <c r="CA295" s="175"/>
      <c r="CB295" s="175"/>
      <c r="CC295" s="175"/>
      <c r="CD295" s="175"/>
      <c r="CE295" s="175"/>
      <c r="CF295" s="175"/>
      <c r="CG295" s="175"/>
      <c r="CH295" s="175"/>
      <c r="CI295" s="175"/>
      <c r="CJ295" s="175"/>
      <c r="CK295" s="175"/>
      <c r="CL295" s="175"/>
      <c r="CM295" s="175"/>
      <c r="CN295" s="175"/>
      <c r="CO295" s="175"/>
      <c r="CP295" s="175"/>
      <c r="CQ295" s="175"/>
      <c r="CR295" s="175"/>
      <c r="CS295" s="175"/>
      <c r="CT295" s="175"/>
      <c r="CU295" s="175"/>
      <c r="CV295" s="175"/>
      <c r="CW295" s="175"/>
      <c r="CX295" s="175"/>
      <c r="CY295" s="175"/>
      <c r="CZ295" s="175"/>
      <c r="DA295" s="175"/>
      <c r="DB295" s="175"/>
      <c r="DC295" s="175"/>
      <c r="DD295" s="175"/>
      <c r="DE295" s="175"/>
      <c r="DF295" s="175"/>
      <c r="DG295" s="175"/>
      <c r="DH295" s="175"/>
      <c r="DI295" s="175"/>
      <c r="DJ295" s="175"/>
      <c r="DK295" s="175"/>
      <c r="DL295" s="175"/>
      <c r="DM295" s="175"/>
      <c r="DN295" s="175"/>
      <c r="DO295" s="175"/>
      <c r="DP295" s="175"/>
      <c r="DQ295" s="175"/>
      <c r="DR295" s="175"/>
      <c r="DS295" s="175"/>
      <c r="DT295" s="175"/>
      <c r="DU295" s="175"/>
      <c r="DV295" s="175"/>
      <c r="DW295" s="175"/>
      <c r="DX295" s="175"/>
      <c r="DY295" s="175"/>
      <c r="DZ295" s="175"/>
      <c r="EA295" s="175"/>
      <c r="EB295" s="175"/>
      <c r="EC295" s="175"/>
      <c r="ED295" s="175"/>
      <c r="EE295" s="175"/>
      <c r="EF295" s="175"/>
      <c r="EG295" s="175"/>
      <c r="EH295" s="175"/>
      <c r="EI295" s="175"/>
      <c r="EJ295" s="175"/>
      <c r="EK295" s="175"/>
      <c r="EL295" s="175"/>
      <c r="EM295" s="175"/>
      <c r="EN295" s="175"/>
      <c r="EO295" s="175"/>
      <c r="EP295" s="175"/>
      <c r="EQ295" s="175"/>
      <c r="ER295" s="175"/>
      <c r="ES295" s="175"/>
      <c r="ET295" s="175"/>
      <c r="EU295" s="175"/>
      <c r="EV295" s="175"/>
      <c r="EW295" s="175"/>
      <c r="EX295" s="175"/>
      <c r="EY295" s="175"/>
      <c r="EZ295" s="175"/>
      <c r="FA295" s="175"/>
      <c r="FB295" s="175"/>
      <c r="FC295" s="175"/>
      <c r="FD295" s="175"/>
      <c r="FE295" s="175"/>
      <c r="FF295" s="175"/>
      <c r="FG295" s="175"/>
      <c r="FH295" s="175"/>
      <c r="FI295" s="175"/>
      <c r="FJ295" s="175"/>
      <c r="FK295" s="175"/>
      <c r="FL295" s="175"/>
      <c r="FM295" s="175"/>
      <c r="FN295" s="175"/>
      <c r="FO295" s="175"/>
      <c r="FP295" s="175"/>
      <c r="FQ295" s="175"/>
      <c r="FR295" s="175"/>
      <c r="FS295" s="175"/>
      <c r="FT295" s="175"/>
      <c r="FU295" s="175"/>
      <c r="FV295" s="175"/>
      <c r="FW295" s="175"/>
      <c r="FX295" s="175"/>
      <c r="FY295" s="175"/>
      <c r="FZ295" s="175"/>
      <c r="GA295" s="175"/>
      <c r="GB295" s="175"/>
      <c r="GC295" s="175"/>
      <c r="GD295" s="175"/>
      <c r="GE295" s="175"/>
      <c r="GF295" s="175"/>
      <c r="GG295" s="175"/>
      <c r="GH295" s="175"/>
      <c r="GI295" s="175"/>
      <c r="GJ295" s="175"/>
      <c r="GK295" s="175"/>
      <c r="GL295" s="175"/>
      <c r="GM295" s="175"/>
      <c r="GN295" s="175"/>
      <c r="GO295" s="175"/>
      <c r="GP295" s="175"/>
      <c r="GQ295" s="175"/>
      <c r="GR295" s="175"/>
      <c r="GS295" s="175"/>
      <c r="GT295" s="175"/>
      <c r="GU295" s="175"/>
      <c r="GV295" s="175"/>
      <c r="GW295" s="175"/>
      <c r="GX295" s="175"/>
      <c r="GY295" s="175"/>
      <c r="GZ295" s="175"/>
      <c r="HA295" s="175"/>
      <c r="HB295" s="175"/>
      <c r="HC295" s="175"/>
      <c r="HD295" s="175"/>
      <c r="HE295" s="175"/>
      <c r="HF295" s="175"/>
      <c r="HG295" s="175"/>
      <c r="HH295" s="175"/>
      <c r="HI295" s="175"/>
      <c r="HJ295" s="175"/>
      <c r="HK295" s="175"/>
      <c r="HL295" s="175"/>
      <c r="HM295" s="175"/>
      <c r="HN295" s="175"/>
      <c r="HO295" s="175"/>
      <c r="HP295" s="175"/>
      <c r="HQ295" s="175"/>
      <c r="HR295" s="175"/>
      <c r="HS295" s="175"/>
      <c r="HT295" s="175"/>
      <c r="HU295" s="175"/>
      <c r="HV295" s="175"/>
      <c r="HW295" s="175"/>
      <c r="HX295" s="175"/>
      <c r="HY295" s="175"/>
      <c r="HZ295" s="175"/>
      <c r="IA295" s="175"/>
      <c r="IB295" s="175"/>
      <c r="IC295" s="175"/>
      <c r="ID295" s="175"/>
      <c r="IE295" s="175"/>
      <c r="IF295" s="175"/>
      <c r="IG295" s="175"/>
      <c r="IH295" s="175"/>
      <c r="II295" s="175"/>
      <c r="IJ295" s="175"/>
      <c r="IK295" s="175"/>
      <c r="IL295" s="175"/>
      <c r="IM295" s="175"/>
      <c r="IN295" s="175"/>
      <c r="IO295" s="175"/>
      <c r="IP295" s="175"/>
      <c r="IQ295" s="175"/>
      <c r="IR295" s="175"/>
      <c r="IS295" s="175"/>
      <c r="IT295" s="175"/>
      <c r="IU295" s="175"/>
      <c r="IV295" s="175"/>
      <c r="IW295" s="175"/>
      <c r="IX295" s="175"/>
      <c r="IY295" s="175"/>
      <c r="IZ295" s="175"/>
      <c r="JA295" s="175"/>
      <c r="JB295" s="175"/>
      <c r="JC295" s="175"/>
      <c r="JD295" s="175"/>
      <c r="JE295" s="175"/>
      <c r="JF295" s="175"/>
      <c r="JG295" s="175"/>
      <c r="JH295" s="175"/>
      <c r="JI295" s="175"/>
      <c r="JJ295" s="175"/>
      <c r="JK295" s="175"/>
      <c r="JL295" s="175"/>
      <c r="JM295" s="175"/>
      <c r="JN295" s="175"/>
      <c r="JO295" s="175"/>
      <c r="JP295" s="175"/>
      <c r="JQ295" s="175"/>
      <c r="JR295" s="175"/>
      <c r="JS295" s="175"/>
      <c r="JT295" s="175"/>
      <c r="JU295" s="175"/>
      <c r="JV295" s="175"/>
      <c r="JW295" s="175"/>
      <c r="JX295" s="175"/>
      <c r="JY295" s="175"/>
      <c r="JZ295" s="175"/>
      <c r="KA295" s="175"/>
      <c r="KB295" s="175"/>
      <c r="KC295" s="175"/>
      <c r="KD295" s="175"/>
      <c r="KE295" s="175"/>
      <c r="KF295" s="175"/>
      <c r="KG295" s="175"/>
      <c r="KH295" s="175"/>
      <c r="KI295" s="175"/>
      <c r="KJ295" s="175"/>
      <c r="KK295" s="175"/>
      <c r="KL295" s="175"/>
      <c r="KM295" s="175"/>
      <c r="KN295" s="175"/>
      <c r="KO295" s="175"/>
      <c r="KP295" s="175"/>
      <c r="KQ295" s="175"/>
      <c r="KR295" s="175"/>
      <c r="KS295" s="175"/>
      <c r="KT295" s="175"/>
      <c r="KU295" s="175"/>
    </row>
    <row r="296" spans="1:307" x14ac:dyDescent="0.2">
      <c r="A296" s="172"/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  <c r="AP296" s="172"/>
      <c r="AQ296" s="172"/>
      <c r="AR296" s="172"/>
      <c r="AS296" s="172"/>
      <c r="AT296" s="172"/>
      <c r="AU296" s="172"/>
      <c r="AV296" s="172"/>
      <c r="AW296" s="172"/>
      <c r="AX296" s="172"/>
      <c r="AY296" s="172"/>
      <c r="AZ296" s="172"/>
      <c r="BA296" s="172"/>
      <c r="BB296" s="172"/>
      <c r="BC296" s="172"/>
      <c r="BD296" s="172"/>
      <c r="BE296" s="172"/>
      <c r="BF296" s="172"/>
      <c r="BG296" s="172"/>
      <c r="BH296" s="172"/>
      <c r="BI296" s="172"/>
      <c r="BJ296" s="172"/>
      <c r="BK296" s="172"/>
      <c r="BL296" s="172"/>
      <c r="BM296" s="172"/>
      <c r="BN296" s="172"/>
      <c r="BO296" s="172"/>
      <c r="BP296" s="172"/>
      <c r="BQ296" s="172"/>
      <c r="BR296" s="172"/>
      <c r="BS296" s="172"/>
      <c r="BT296" s="172"/>
      <c r="BU296" s="172"/>
      <c r="BV296" s="172"/>
      <c r="BW296" s="172"/>
      <c r="BX296" s="175"/>
      <c r="BY296" s="175"/>
      <c r="BZ296" s="175"/>
      <c r="CA296" s="175"/>
      <c r="CB296" s="175"/>
      <c r="CC296" s="175"/>
      <c r="CD296" s="175"/>
      <c r="CE296" s="175"/>
      <c r="CF296" s="175"/>
      <c r="CG296" s="175"/>
      <c r="CH296" s="175"/>
      <c r="CI296" s="175"/>
      <c r="CJ296" s="175"/>
      <c r="CK296" s="175"/>
      <c r="CL296" s="175"/>
      <c r="CM296" s="175"/>
      <c r="CN296" s="175"/>
      <c r="CO296" s="175"/>
      <c r="CP296" s="175"/>
      <c r="CQ296" s="175"/>
      <c r="CR296" s="175"/>
      <c r="CS296" s="175"/>
      <c r="CT296" s="175"/>
      <c r="CU296" s="175"/>
      <c r="CV296" s="175"/>
      <c r="CW296" s="175"/>
      <c r="CX296" s="175"/>
      <c r="CY296" s="175"/>
      <c r="CZ296" s="175"/>
      <c r="DA296" s="175"/>
      <c r="DB296" s="175"/>
      <c r="DC296" s="175"/>
      <c r="DD296" s="175"/>
      <c r="DE296" s="175"/>
      <c r="DF296" s="175"/>
      <c r="DG296" s="175"/>
      <c r="DH296" s="175"/>
      <c r="DI296" s="175"/>
      <c r="DJ296" s="175"/>
      <c r="DK296" s="175"/>
      <c r="DL296" s="175"/>
      <c r="DM296" s="175"/>
      <c r="DN296" s="175"/>
      <c r="DO296" s="175"/>
      <c r="DP296" s="175"/>
      <c r="DQ296" s="175"/>
      <c r="DR296" s="175"/>
      <c r="DS296" s="175"/>
      <c r="DT296" s="175"/>
      <c r="DU296" s="175"/>
      <c r="DV296" s="175"/>
      <c r="DW296" s="175"/>
      <c r="DX296" s="175"/>
      <c r="DY296" s="175"/>
      <c r="DZ296" s="175"/>
      <c r="EA296" s="175"/>
      <c r="EB296" s="175"/>
      <c r="EC296" s="175"/>
      <c r="ED296" s="175"/>
      <c r="EE296" s="175"/>
      <c r="EF296" s="175"/>
      <c r="EG296" s="175"/>
      <c r="EH296" s="175"/>
      <c r="EI296" s="175"/>
      <c r="EJ296" s="175"/>
      <c r="EK296" s="175"/>
      <c r="EL296" s="175"/>
      <c r="EM296" s="175"/>
      <c r="EN296" s="175"/>
      <c r="EO296" s="175"/>
      <c r="EP296" s="175"/>
      <c r="EQ296" s="175"/>
      <c r="ER296" s="175"/>
      <c r="ES296" s="175"/>
      <c r="ET296" s="175"/>
      <c r="EU296" s="175"/>
      <c r="EV296" s="175"/>
      <c r="EW296" s="175"/>
      <c r="EX296" s="175"/>
      <c r="EY296" s="175"/>
      <c r="EZ296" s="175"/>
      <c r="FA296" s="175"/>
      <c r="FB296" s="175"/>
      <c r="FC296" s="175"/>
      <c r="FD296" s="175"/>
      <c r="FE296" s="175"/>
      <c r="FF296" s="175"/>
      <c r="FG296" s="175"/>
      <c r="FH296" s="175"/>
      <c r="FI296" s="175"/>
      <c r="FJ296" s="175"/>
      <c r="FK296" s="175"/>
      <c r="FL296" s="175"/>
      <c r="FM296" s="175"/>
      <c r="FN296" s="175"/>
      <c r="FO296" s="175"/>
      <c r="FP296" s="175"/>
      <c r="FQ296" s="175"/>
      <c r="FR296" s="175"/>
      <c r="FS296" s="175"/>
      <c r="FT296" s="175"/>
      <c r="FU296" s="175"/>
      <c r="FV296" s="175"/>
      <c r="FW296" s="175"/>
      <c r="FX296" s="175"/>
      <c r="FY296" s="175"/>
      <c r="FZ296" s="175"/>
      <c r="GA296" s="175"/>
      <c r="GB296" s="175"/>
      <c r="GC296" s="175"/>
      <c r="GD296" s="175"/>
      <c r="GE296" s="175"/>
      <c r="GF296" s="175"/>
      <c r="GG296" s="175"/>
      <c r="GH296" s="175"/>
      <c r="GI296" s="175"/>
      <c r="GJ296" s="175"/>
      <c r="GK296" s="175"/>
      <c r="GL296" s="175"/>
      <c r="GM296" s="175"/>
      <c r="GN296" s="175"/>
      <c r="GO296" s="175"/>
      <c r="GP296" s="175"/>
      <c r="GQ296" s="175"/>
      <c r="GR296" s="175"/>
      <c r="GS296" s="175"/>
      <c r="GT296" s="175"/>
      <c r="GU296" s="175"/>
      <c r="GV296" s="175"/>
      <c r="GW296" s="175"/>
      <c r="GX296" s="175"/>
      <c r="GY296" s="175"/>
      <c r="GZ296" s="175"/>
      <c r="HA296" s="175"/>
      <c r="HB296" s="175"/>
      <c r="HC296" s="175"/>
      <c r="HD296" s="175"/>
      <c r="HE296" s="175"/>
      <c r="HF296" s="175"/>
      <c r="HG296" s="175"/>
      <c r="HH296" s="175"/>
      <c r="HI296" s="175"/>
      <c r="HJ296" s="175"/>
      <c r="HK296" s="175"/>
      <c r="HL296" s="175"/>
      <c r="HM296" s="175"/>
      <c r="HN296" s="175"/>
      <c r="HO296" s="175"/>
      <c r="HP296" s="175"/>
      <c r="HQ296" s="175"/>
      <c r="HR296" s="175"/>
      <c r="HS296" s="175"/>
      <c r="HT296" s="175"/>
      <c r="HU296" s="175"/>
      <c r="HV296" s="175"/>
      <c r="HW296" s="175"/>
      <c r="HX296" s="175"/>
      <c r="HY296" s="175"/>
      <c r="HZ296" s="175"/>
      <c r="IA296" s="175"/>
      <c r="IB296" s="175"/>
      <c r="IC296" s="175"/>
      <c r="ID296" s="175"/>
      <c r="IE296" s="175"/>
      <c r="IF296" s="175"/>
      <c r="IG296" s="175"/>
      <c r="IH296" s="175"/>
      <c r="II296" s="175"/>
      <c r="IJ296" s="175"/>
      <c r="IK296" s="175"/>
      <c r="IL296" s="175"/>
      <c r="IM296" s="175"/>
      <c r="IN296" s="175"/>
      <c r="IO296" s="175"/>
      <c r="IP296" s="175"/>
      <c r="IQ296" s="175"/>
      <c r="IR296" s="175"/>
      <c r="IS296" s="175"/>
      <c r="IT296" s="175"/>
      <c r="IU296" s="175"/>
      <c r="IV296" s="175"/>
      <c r="IW296" s="175"/>
      <c r="IX296" s="175"/>
      <c r="IY296" s="175"/>
      <c r="IZ296" s="175"/>
      <c r="JA296" s="175"/>
      <c r="JB296" s="175"/>
      <c r="JC296" s="175"/>
      <c r="JD296" s="175"/>
      <c r="JE296" s="175"/>
      <c r="JF296" s="175"/>
      <c r="JG296" s="175"/>
      <c r="JH296" s="175"/>
      <c r="JI296" s="175"/>
      <c r="JJ296" s="175"/>
      <c r="JK296" s="175"/>
      <c r="JL296" s="175"/>
      <c r="JM296" s="175"/>
      <c r="JN296" s="175"/>
      <c r="JO296" s="175"/>
      <c r="JP296" s="175"/>
      <c r="JQ296" s="175"/>
      <c r="JR296" s="175"/>
      <c r="JS296" s="175"/>
      <c r="JT296" s="175"/>
      <c r="JU296" s="175"/>
      <c r="JV296" s="175"/>
      <c r="JW296" s="175"/>
      <c r="JX296" s="175"/>
      <c r="JY296" s="175"/>
      <c r="JZ296" s="175"/>
      <c r="KA296" s="175"/>
      <c r="KB296" s="175"/>
      <c r="KC296" s="175"/>
      <c r="KD296" s="175"/>
      <c r="KE296" s="175"/>
      <c r="KF296" s="175"/>
      <c r="KG296" s="175"/>
      <c r="KH296" s="175"/>
      <c r="KI296" s="175"/>
      <c r="KJ296" s="175"/>
      <c r="KK296" s="175"/>
      <c r="KL296" s="175"/>
      <c r="KM296" s="175"/>
      <c r="KN296" s="175"/>
      <c r="KO296" s="175"/>
      <c r="KP296" s="175"/>
      <c r="KQ296" s="175"/>
      <c r="KR296" s="175"/>
      <c r="KS296" s="175"/>
      <c r="KT296" s="175"/>
      <c r="KU296" s="175"/>
    </row>
    <row r="297" spans="1:307" x14ac:dyDescent="0.2">
      <c r="A297" s="172"/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72"/>
      <c r="AB297" s="172"/>
      <c r="AC297" s="172"/>
      <c r="AD297" s="172"/>
      <c r="AE297" s="172"/>
      <c r="AF297" s="172"/>
      <c r="AG297" s="172"/>
      <c r="AH297" s="172"/>
      <c r="AI297" s="172"/>
      <c r="AJ297" s="172"/>
      <c r="AK297" s="172"/>
      <c r="AL297" s="172"/>
      <c r="AM297" s="172"/>
      <c r="AN297" s="172"/>
      <c r="AO297" s="172"/>
      <c r="AP297" s="172"/>
      <c r="AQ297" s="172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172"/>
      <c r="BD297" s="172"/>
      <c r="BE297" s="172"/>
      <c r="BF297" s="172"/>
      <c r="BG297" s="172"/>
      <c r="BH297" s="172"/>
      <c r="BI297" s="172"/>
      <c r="BJ297" s="172"/>
      <c r="BK297" s="172"/>
      <c r="BL297" s="172"/>
      <c r="BM297" s="172"/>
      <c r="BN297" s="172"/>
      <c r="BO297" s="172"/>
      <c r="BP297" s="172"/>
      <c r="BQ297" s="172"/>
      <c r="BR297" s="172"/>
      <c r="BS297" s="172"/>
      <c r="BT297" s="172"/>
      <c r="BU297" s="172"/>
      <c r="BV297" s="172"/>
      <c r="BW297" s="172"/>
      <c r="BX297" s="175"/>
      <c r="BY297" s="175"/>
      <c r="BZ297" s="175"/>
      <c r="CA297" s="175"/>
      <c r="CB297" s="175"/>
      <c r="CC297" s="175"/>
      <c r="CD297" s="175"/>
      <c r="CE297" s="175"/>
      <c r="CF297" s="175"/>
      <c r="CG297" s="175"/>
      <c r="CH297" s="175"/>
      <c r="CI297" s="175"/>
      <c r="CJ297" s="175"/>
      <c r="CK297" s="175"/>
      <c r="CL297" s="175"/>
      <c r="CM297" s="175"/>
      <c r="CN297" s="175"/>
      <c r="CO297" s="175"/>
      <c r="CP297" s="175"/>
      <c r="CQ297" s="175"/>
      <c r="CR297" s="175"/>
      <c r="CS297" s="175"/>
      <c r="CT297" s="175"/>
      <c r="CU297" s="175"/>
      <c r="CV297" s="175"/>
      <c r="CW297" s="175"/>
      <c r="CX297" s="175"/>
      <c r="CY297" s="175"/>
      <c r="CZ297" s="175"/>
      <c r="DA297" s="175"/>
      <c r="DB297" s="175"/>
      <c r="DC297" s="175"/>
      <c r="DD297" s="175"/>
      <c r="DE297" s="175"/>
      <c r="DF297" s="175"/>
      <c r="DG297" s="175"/>
      <c r="DH297" s="175"/>
      <c r="DI297" s="175"/>
      <c r="DJ297" s="175"/>
      <c r="DK297" s="175"/>
      <c r="DL297" s="175"/>
      <c r="DM297" s="175"/>
      <c r="DN297" s="175"/>
      <c r="DO297" s="175"/>
      <c r="DP297" s="175"/>
      <c r="DQ297" s="175"/>
      <c r="DR297" s="175"/>
      <c r="DS297" s="175"/>
      <c r="DT297" s="175"/>
      <c r="DU297" s="175"/>
      <c r="DV297" s="175"/>
      <c r="DW297" s="175"/>
      <c r="DX297" s="175"/>
      <c r="DY297" s="175"/>
      <c r="DZ297" s="175"/>
      <c r="EA297" s="175"/>
      <c r="EB297" s="175"/>
      <c r="EC297" s="175"/>
      <c r="ED297" s="175"/>
      <c r="EE297" s="175"/>
      <c r="EF297" s="175"/>
      <c r="EG297" s="175"/>
      <c r="EH297" s="175"/>
      <c r="EI297" s="175"/>
      <c r="EJ297" s="175"/>
      <c r="EK297" s="175"/>
      <c r="EL297" s="175"/>
      <c r="EM297" s="175"/>
      <c r="EN297" s="175"/>
      <c r="EO297" s="175"/>
      <c r="EP297" s="175"/>
      <c r="EQ297" s="175"/>
      <c r="ER297" s="175"/>
      <c r="ES297" s="175"/>
      <c r="ET297" s="175"/>
      <c r="EU297" s="175"/>
      <c r="EV297" s="175"/>
      <c r="EW297" s="175"/>
      <c r="EX297" s="175"/>
      <c r="EY297" s="175"/>
      <c r="EZ297" s="175"/>
      <c r="FA297" s="175"/>
      <c r="FB297" s="175"/>
      <c r="FC297" s="175"/>
      <c r="FD297" s="175"/>
      <c r="FE297" s="175"/>
      <c r="FF297" s="175"/>
      <c r="FG297" s="175"/>
      <c r="FH297" s="175"/>
      <c r="FI297" s="175"/>
      <c r="FJ297" s="175"/>
      <c r="FK297" s="175"/>
      <c r="FL297" s="175"/>
      <c r="FM297" s="175"/>
      <c r="FN297" s="175"/>
      <c r="FO297" s="175"/>
      <c r="FP297" s="175"/>
      <c r="FQ297" s="175"/>
      <c r="FR297" s="175"/>
      <c r="FS297" s="175"/>
      <c r="FT297" s="175"/>
      <c r="FU297" s="175"/>
      <c r="FV297" s="175"/>
      <c r="FW297" s="175"/>
      <c r="FX297" s="175"/>
      <c r="FY297" s="175"/>
      <c r="FZ297" s="175"/>
      <c r="GA297" s="175"/>
      <c r="GB297" s="175"/>
      <c r="GC297" s="175"/>
      <c r="GD297" s="175"/>
      <c r="GE297" s="175"/>
      <c r="GF297" s="175"/>
      <c r="GG297" s="175"/>
      <c r="GH297" s="175"/>
      <c r="GI297" s="175"/>
      <c r="GJ297" s="175"/>
      <c r="GK297" s="175"/>
      <c r="GL297" s="175"/>
      <c r="GM297" s="175"/>
      <c r="GN297" s="175"/>
      <c r="GO297" s="175"/>
      <c r="GP297" s="175"/>
      <c r="GQ297" s="175"/>
      <c r="GR297" s="175"/>
      <c r="GS297" s="175"/>
      <c r="GT297" s="175"/>
      <c r="GU297" s="175"/>
      <c r="GV297" s="175"/>
      <c r="GW297" s="175"/>
      <c r="GX297" s="175"/>
      <c r="GY297" s="175"/>
      <c r="GZ297" s="175"/>
      <c r="HA297" s="175"/>
      <c r="HB297" s="175"/>
      <c r="HC297" s="175"/>
      <c r="HD297" s="175"/>
      <c r="HE297" s="175"/>
      <c r="HF297" s="175"/>
      <c r="HG297" s="175"/>
      <c r="HH297" s="175"/>
      <c r="HI297" s="175"/>
      <c r="HJ297" s="175"/>
      <c r="HK297" s="175"/>
      <c r="HL297" s="175"/>
      <c r="HM297" s="175"/>
      <c r="HN297" s="175"/>
      <c r="HO297" s="175"/>
      <c r="HP297" s="175"/>
      <c r="HQ297" s="175"/>
      <c r="HR297" s="175"/>
      <c r="HS297" s="175"/>
      <c r="HT297" s="175"/>
      <c r="HU297" s="175"/>
      <c r="HV297" s="175"/>
      <c r="HW297" s="175"/>
      <c r="HX297" s="175"/>
      <c r="HY297" s="175"/>
      <c r="HZ297" s="175"/>
      <c r="IA297" s="175"/>
      <c r="IB297" s="175"/>
      <c r="IC297" s="175"/>
      <c r="ID297" s="175"/>
      <c r="IE297" s="175"/>
      <c r="IF297" s="175"/>
      <c r="IG297" s="175"/>
      <c r="IH297" s="175"/>
      <c r="II297" s="175"/>
      <c r="IJ297" s="175"/>
      <c r="IK297" s="175"/>
      <c r="IL297" s="175"/>
      <c r="IM297" s="175"/>
      <c r="IN297" s="175"/>
      <c r="IO297" s="175"/>
      <c r="IP297" s="175"/>
      <c r="IQ297" s="175"/>
      <c r="IR297" s="175"/>
      <c r="IS297" s="175"/>
      <c r="IT297" s="175"/>
      <c r="IU297" s="175"/>
      <c r="IV297" s="175"/>
      <c r="IW297" s="175"/>
      <c r="IX297" s="175"/>
      <c r="IY297" s="175"/>
      <c r="IZ297" s="175"/>
      <c r="JA297" s="175"/>
      <c r="JB297" s="175"/>
      <c r="JC297" s="175"/>
      <c r="JD297" s="175"/>
      <c r="JE297" s="175"/>
      <c r="JF297" s="175"/>
      <c r="JG297" s="175"/>
      <c r="JH297" s="175"/>
      <c r="JI297" s="175"/>
      <c r="JJ297" s="175"/>
      <c r="JK297" s="175"/>
      <c r="JL297" s="175"/>
      <c r="JM297" s="175"/>
      <c r="JN297" s="175"/>
      <c r="JO297" s="175"/>
      <c r="JP297" s="175"/>
      <c r="JQ297" s="175"/>
      <c r="JR297" s="175"/>
      <c r="JS297" s="175"/>
      <c r="JT297" s="175"/>
      <c r="JU297" s="175"/>
      <c r="JV297" s="175"/>
      <c r="JW297" s="175"/>
      <c r="JX297" s="175"/>
      <c r="JY297" s="175"/>
      <c r="JZ297" s="175"/>
      <c r="KA297" s="175"/>
      <c r="KB297" s="175"/>
      <c r="KC297" s="175"/>
      <c r="KD297" s="175"/>
      <c r="KE297" s="175"/>
      <c r="KF297" s="175"/>
      <c r="KG297" s="175"/>
      <c r="KH297" s="175"/>
      <c r="KI297" s="175"/>
      <c r="KJ297" s="175"/>
      <c r="KK297" s="175"/>
      <c r="KL297" s="175"/>
      <c r="KM297" s="175"/>
      <c r="KN297" s="175"/>
      <c r="KO297" s="175"/>
      <c r="KP297" s="175"/>
      <c r="KQ297" s="175"/>
      <c r="KR297" s="175"/>
      <c r="KS297" s="175"/>
      <c r="KT297" s="175"/>
      <c r="KU297" s="175"/>
    </row>
    <row r="298" spans="1:307" x14ac:dyDescent="0.2">
      <c r="A298" s="172"/>
      <c r="B298" s="172"/>
      <c r="C298" s="172"/>
      <c r="D298" s="172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  <c r="AA298" s="172"/>
      <c r="AB298" s="172"/>
      <c r="AC298" s="172"/>
      <c r="AD298" s="172"/>
      <c r="AE298" s="172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  <c r="AP298" s="172"/>
      <c r="AQ298" s="172"/>
      <c r="AR298" s="172"/>
      <c r="AS298" s="172"/>
      <c r="AT298" s="172"/>
      <c r="AU298" s="172"/>
      <c r="AV298" s="172"/>
      <c r="AW298" s="172"/>
      <c r="AX298" s="172"/>
      <c r="AY298" s="172"/>
      <c r="AZ298" s="172"/>
      <c r="BA298" s="172"/>
      <c r="BB298" s="172"/>
      <c r="BC298" s="172"/>
      <c r="BD298" s="172"/>
      <c r="BE298" s="172"/>
      <c r="BF298" s="172"/>
      <c r="BG298" s="172"/>
      <c r="BH298" s="172"/>
      <c r="BI298" s="172"/>
      <c r="BJ298" s="172"/>
      <c r="BK298" s="172"/>
      <c r="BL298" s="172"/>
      <c r="BM298" s="172"/>
      <c r="BN298" s="172"/>
      <c r="BO298" s="172"/>
      <c r="BP298" s="172"/>
      <c r="BQ298" s="172"/>
      <c r="BR298" s="172"/>
      <c r="BS298" s="172"/>
      <c r="BT298" s="172"/>
      <c r="BU298" s="172"/>
      <c r="BV298" s="172"/>
      <c r="BW298" s="172"/>
      <c r="BX298" s="175"/>
      <c r="BY298" s="175"/>
      <c r="BZ298" s="175"/>
      <c r="CA298" s="175"/>
      <c r="CB298" s="175"/>
      <c r="CC298" s="175"/>
      <c r="CD298" s="175"/>
      <c r="CE298" s="175"/>
      <c r="CF298" s="175"/>
      <c r="CG298" s="175"/>
      <c r="CH298" s="175"/>
      <c r="CI298" s="175"/>
      <c r="CJ298" s="175"/>
      <c r="CK298" s="175"/>
      <c r="CL298" s="175"/>
      <c r="CM298" s="175"/>
      <c r="CN298" s="175"/>
      <c r="CO298" s="175"/>
      <c r="CP298" s="175"/>
      <c r="CQ298" s="175"/>
      <c r="CR298" s="175"/>
      <c r="CS298" s="175"/>
      <c r="CT298" s="175"/>
      <c r="CU298" s="175"/>
      <c r="CV298" s="175"/>
      <c r="CW298" s="175"/>
      <c r="CX298" s="175"/>
      <c r="CY298" s="175"/>
      <c r="CZ298" s="175"/>
      <c r="DA298" s="175"/>
      <c r="DB298" s="175"/>
      <c r="DC298" s="175"/>
      <c r="DD298" s="175"/>
      <c r="DE298" s="175"/>
      <c r="DF298" s="175"/>
      <c r="DG298" s="175"/>
      <c r="DH298" s="175"/>
      <c r="DI298" s="175"/>
      <c r="DJ298" s="175"/>
      <c r="DK298" s="175"/>
      <c r="DL298" s="175"/>
      <c r="DM298" s="175"/>
      <c r="DN298" s="175"/>
      <c r="DO298" s="175"/>
      <c r="DP298" s="175"/>
      <c r="DQ298" s="175"/>
      <c r="DR298" s="175"/>
      <c r="DS298" s="175"/>
      <c r="DT298" s="175"/>
      <c r="DU298" s="175"/>
      <c r="DV298" s="175"/>
      <c r="DW298" s="175"/>
      <c r="DX298" s="175"/>
      <c r="DY298" s="175"/>
      <c r="DZ298" s="175"/>
      <c r="EA298" s="175"/>
      <c r="EB298" s="175"/>
      <c r="EC298" s="175"/>
      <c r="ED298" s="175"/>
      <c r="EE298" s="175"/>
      <c r="EF298" s="175"/>
      <c r="EG298" s="175"/>
      <c r="EH298" s="175"/>
      <c r="EI298" s="175"/>
      <c r="EJ298" s="175"/>
      <c r="EK298" s="175"/>
      <c r="EL298" s="175"/>
      <c r="EM298" s="175"/>
      <c r="EN298" s="175"/>
      <c r="EO298" s="175"/>
      <c r="EP298" s="175"/>
      <c r="EQ298" s="175"/>
      <c r="ER298" s="175"/>
      <c r="ES298" s="175"/>
      <c r="ET298" s="175"/>
      <c r="EU298" s="175"/>
      <c r="EV298" s="175"/>
      <c r="EW298" s="175"/>
      <c r="EX298" s="175"/>
      <c r="EY298" s="175"/>
      <c r="EZ298" s="175"/>
      <c r="FA298" s="175"/>
      <c r="FB298" s="175"/>
      <c r="FC298" s="175"/>
      <c r="FD298" s="175"/>
      <c r="FE298" s="175"/>
      <c r="FF298" s="175"/>
      <c r="FG298" s="175"/>
      <c r="FH298" s="175"/>
      <c r="FI298" s="175"/>
      <c r="FJ298" s="175"/>
      <c r="FK298" s="175"/>
      <c r="FL298" s="175"/>
      <c r="FM298" s="175"/>
      <c r="FN298" s="175"/>
      <c r="FO298" s="175"/>
      <c r="FP298" s="175"/>
      <c r="FQ298" s="175"/>
      <c r="FR298" s="175"/>
      <c r="FS298" s="175"/>
      <c r="FT298" s="175"/>
      <c r="FU298" s="175"/>
      <c r="FV298" s="175"/>
      <c r="FW298" s="175"/>
      <c r="FX298" s="175"/>
      <c r="FY298" s="175"/>
      <c r="FZ298" s="175"/>
      <c r="GA298" s="175"/>
      <c r="GB298" s="175"/>
      <c r="GC298" s="175"/>
      <c r="GD298" s="175"/>
      <c r="GE298" s="175"/>
      <c r="GF298" s="175"/>
      <c r="GG298" s="175"/>
      <c r="GH298" s="175"/>
      <c r="GI298" s="175"/>
      <c r="GJ298" s="175"/>
      <c r="GK298" s="175"/>
      <c r="GL298" s="175"/>
      <c r="GM298" s="175"/>
      <c r="GN298" s="175"/>
      <c r="GO298" s="175"/>
      <c r="GP298" s="175"/>
      <c r="GQ298" s="175"/>
      <c r="GR298" s="175"/>
      <c r="GS298" s="175"/>
      <c r="GT298" s="175"/>
      <c r="GU298" s="175"/>
      <c r="GV298" s="175"/>
      <c r="GW298" s="175"/>
      <c r="GX298" s="175"/>
      <c r="GY298" s="175"/>
      <c r="GZ298" s="175"/>
      <c r="HA298" s="175"/>
      <c r="HB298" s="175"/>
      <c r="HC298" s="175"/>
      <c r="HD298" s="175"/>
      <c r="HE298" s="175"/>
      <c r="HF298" s="175"/>
      <c r="HG298" s="175"/>
      <c r="HH298" s="175"/>
      <c r="HI298" s="175"/>
      <c r="HJ298" s="175"/>
      <c r="HK298" s="175"/>
      <c r="HL298" s="175"/>
      <c r="HM298" s="175"/>
      <c r="HN298" s="175"/>
      <c r="HO298" s="175"/>
      <c r="HP298" s="175"/>
      <c r="HQ298" s="175"/>
      <c r="HR298" s="175"/>
      <c r="HS298" s="175"/>
      <c r="HT298" s="175"/>
      <c r="HU298" s="175"/>
      <c r="HV298" s="175"/>
      <c r="HW298" s="175"/>
      <c r="HX298" s="175"/>
      <c r="HY298" s="175"/>
      <c r="HZ298" s="175"/>
      <c r="IA298" s="175"/>
      <c r="IB298" s="175"/>
      <c r="IC298" s="175"/>
      <c r="ID298" s="175"/>
      <c r="IE298" s="175"/>
      <c r="IF298" s="175"/>
      <c r="IG298" s="175"/>
      <c r="IH298" s="175"/>
      <c r="II298" s="175"/>
      <c r="IJ298" s="175"/>
      <c r="IK298" s="175"/>
      <c r="IL298" s="175"/>
      <c r="IM298" s="175"/>
      <c r="IN298" s="175"/>
      <c r="IO298" s="175"/>
      <c r="IP298" s="175"/>
      <c r="IQ298" s="175"/>
      <c r="IR298" s="175"/>
      <c r="IS298" s="175"/>
      <c r="IT298" s="175"/>
      <c r="IU298" s="175"/>
      <c r="IV298" s="175"/>
      <c r="IW298" s="175"/>
      <c r="IX298" s="175"/>
      <c r="IY298" s="175"/>
      <c r="IZ298" s="175"/>
      <c r="JA298" s="175"/>
      <c r="JB298" s="175"/>
      <c r="JC298" s="175"/>
      <c r="JD298" s="175"/>
      <c r="JE298" s="175"/>
      <c r="JF298" s="175"/>
      <c r="JG298" s="175"/>
      <c r="JH298" s="175"/>
      <c r="JI298" s="175"/>
      <c r="JJ298" s="175"/>
      <c r="JK298" s="175"/>
      <c r="JL298" s="175"/>
      <c r="JM298" s="175"/>
      <c r="JN298" s="175"/>
      <c r="JO298" s="175"/>
      <c r="JP298" s="175"/>
      <c r="JQ298" s="175"/>
      <c r="JR298" s="175"/>
      <c r="JS298" s="175"/>
      <c r="JT298" s="175"/>
      <c r="JU298" s="175"/>
      <c r="JV298" s="175"/>
      <c r="JW298" s="175"/>
      <c r="JX298" s="175"/>
      <c r="JY298" s="175"/>
      <c r="JZ298" s="175"/>
      <c r="KA298" s="175"/>
      <c r="KB298" s="175"/>
      <c r="KC298" s="175"/>
      <c r="KD298" s="175"/>
      <c r="KE298" s="175"/>
      <c r="KF298" s="175"/>
      <c r="KG298" s="175"/>
      <c r="KH298" s="175"/>
      <c r="KI298" s="175"/>
      <c r="KJ298" s="175"/>
      <c r="KK298" s="175"/>
      <c r="KL298" s="175"/>
      <c r="KM298" s="175"/>
      <c r="KN298" s="175"/>
      <c r="KO298" s="175"/>
      <c r="KP298" s="175"/>
      <c r="KQ298" s="175"/>
      <c r="KR298" s="175"/>
      <c r="KS298" s="175"/>
      <c r="KT298" s="175"/>
      <c r="KU298" s="175"/>
    </row>
    <row r="299" spans="1:307" x14ac:dyDescent="0.2">
      <c r="A299" s="172"/>
      <c r="B299" s="172"/>
      <c r="C299" s="172"/>
      <c r="D299" s="172"/>
      <c r="E299" s="172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  <c r="AP299" s="172"/>
      <c r="AQ299" s="172"/>
      <c r="AR299" s="172"/>
      <c r="AS299" s="172"/>
      <c r="AT299" s="172"/>
      <c r="AU299" s="172"/>
      <c r="AV299" s="172"/>
      <c r="AW299" s="172"/>
      <c r="AX299" s="172"/>
      <c r="AY299" s="172"/>
      <c r="AZ299" s="172"/>
      <c r="BA299" s="172"/>
      <c r="BB299" s="172"/>
      <c r="BC299" s="172"/>
      <c r="BD299" s="172"/>
      <c r="BE299" s="172"/>
      <c r="BF299" s="172"/>
      <c r="BG299" s="172"/>
      <c r="BH299" s="172"/>
      <c r="BI299" s="172"/>
      <c r="BJ299" s="172"/>
      <c r="BK299" s="172"/>
      <c r="BL299" s="172"/>
      <c r="BM299" s="172"/>
      <c r="BN299" s="172"/>
      <c r="BO299" s="172"/>
      <c r="BP299" s="172"/>
      <c r="BQ299" s="172"/>
      <c r="BR299" s="172"/>
      <c r="BS299" s="172"/>
      <c r="BT299" s="172"/>
      <c r="BU299" s="172"/>
      <c r="BV299" s="172"/>
      <c r="BW299" s="172"/>
      <c r="BX299" s="175"/>
      <c r="BY299" s="175"/>
      <c r="BZ299" s="175"/>
      <c r="CA299" s="175"/>
      <c r="CB299" s="175"/>
      <c r="CC299" s="175"/>
      <c r="CD299" s="175"/>
      <c r="CE299" s="175"/>
      <c r="CF299" s="175"/>
      <c r="CG299" s="175"/>
      <c r="CH299" s="175"/>
      <c r="CI299" s="175"/>
      <c r="CJ299" s="175"/>
      <c r="CK299" s="175"/>
      <c r="CL299" s="175"/>
      <c r="CM299" s="175"/>
      <c r="CN299" s="175"/>
      <c r="CO299" s="175"/>
      <c r="CP299" s="175"/>
      <c r="CQ299" s="175"/>
      <c r="CR299" s="175"/>
      <c r="CS299" s="175"/>
      <c r="CT299" s="175"/>
      <c r="CU299" s="175"/>
      <c r="CV299" s="175"/>
      <c r="CW299" s="175"/>
      <c r="CX299" s="175"/>
      <c r="CY299" s="175"/>
      <c r="CZ299" s="175"/>
      <c r="DA299" s="175"/>
      <c r="DB299" s="175"/>
      <c r="DC299" s="175"/>
      <c r="DD299" s="175"/>
      <c r="DE299" s="175"/>
      <c r="DF299" s="175"/>
      <c r="DG299" s="175"/>
      <c r="DH299" s="175"/>
      <c r="DI299" s="175"/>
      <c r="DJ299" s="175"/>
      <c r="DK299" s="175"/>
      <c r="DL299" s="175"/>
      <c r="DM299" s="175"/>
      <c r="DN299" s="175"/>
      <c r="DO299" s="175"/>
      <c r="DP299" s="175"/>
      <c r="DQ299" s="175"/>
      <c r="DR299" s="175"/>
      <c r="DS299" s="175"/>
      <c r="DT299" s="175"/>
      <c r="DU299" s="175"/>
      <c r="DV299" s="175"/>
      <c r="DW299" s="175"/>
      <c r="DX299" s="175"/>
      <c r="DY299" s="175"/>
      <c r="DZ299" s="175"/>
      <c r="EA299" s="175"/>
      <c r="EB299" s="175"/>
      <c r="EC299" s="175"/>
      <c r="ED299" s="175"/>
      <c r="EE299" s="175"/>
      <c r="EF299" s="175"/>
      <c r="EG299" s="175"/>
      <c r="EH299" s="175"/>
      <c r="EI299" s="175"/>
      <c r="EJ299" s="175"/>
      <c r="EK299" s="175"/>
      <c r="EL299" s="175"/>
      <c r="EM299" s="175"/>
      <c r="EN299" s="175"/>
      <c r="EO299" s="175"/>
      <c r="EP299" s="175"/>
      <c r="EQ299" s="175"/>
      <c r="ER299" s="175"/>
      <c r="ES299" s="175"/>
      <c r="ET299" s="175"/>
      <c r="EU299" s="175"/>
      <c r="EV299" s="175"/>
      <c r="EW299" s="175"/>
      <c r="EX299" s="175"/>
      <c r="EY299" s="175"/>
      <c r="EZ299" s="175"/>
      <c r="FA299" s="175"/>
      <c r="FB299" s="175"/>
      <c r="FC299" s="175"/>
      <c r="FD299" s="175"/>
      <c r="FE299" s="175"/>
      <c r="FF299" s="175"/>
      <c r="FG299" s="175"/>
      <c r="FH299" s="175"/>
      <c r="FI299" s="175"/>
      <c r="FJ299" s="175"/>
      <c r="FK299" s="175"/>
      <c r="FL299" s="175"/>
      <c r="FM299" s="175"/>
      <c r="FN299" s="175"/>
      <c r="FO299" s="175"/>
      <c r="FP299" s="175"/>
      <c r="FQ299" s="175"/>
      <c r="FR299" s="175"/>
      <c r="FS299" s="175"/>
      <c r="FT299" s="175"/>
      <c r="FU299" s="175"/>
      <c r="FV299" s="175"/>
      <c r="FW299" s="175"/>
      <c r="FX299" s="175"/>
      <c r="FY299" s="175"/>
      <c r="FZ299" s="175"/>
      <c r="GA299" s="175"/>
      <c r="GB299" s="175"/>
      <c r="GC299" s="175"/>
      <c r="GD299" s="175"/>
      <c r="GE299" s="175"/>
      <c r="GF299" s="175"/>
      <c r="GG299" s="175"/>
      <c r="GH299" s="175"/>
      <c r="GI299" s="175"/>
      <c r="GJ299" s="175"/>
      <c r="GK299" s="175"/>
      <c r="GL299" s="175"/>
      <c r="GM299" s="175"/>
      <c r="GN299" s="175"/>
      <c r="GO299" s="175"/>
      <c r="GP299" s="175"/>
      <c r="GQ299" s="175"/>
      <c r="GR299" s="175"/>
      <c r="GS299" s="175"/>
      <c r="GT299" s="175"/>
      <c r="GU299" s="175"/>
      <c r="GV299" s="175"/>
      <c r="GW299" s="175"/>
      <c r="GX299" s="175"/>
      <c r="GY299" s="175"/>
      <c r="GZ299" s="175"/>
      <c r="HA299" s="175"/>
      <c r="HB299" s="175"/>
      <c r="HC299" s="175"/>
      <c r="HD299" s="175"/>
      <c r="HE299" s="175"/>
      <c r="HF299" s="175"/>
      <c r="HG299" s="175"/>
      <c r="HH299" s="175"/>
      <c r="HI299" s="175"/>
      <c r="HJ299" s="175"/>
      <c r="HK299" s="175"/>
      <c r="HL299" s="175"/>
      <c r="HM299" s="175"/>
      <c r="HN299" s="175"/>
      <c r="HO299" s="175"/>
      <c r="HP299" s="175"/>
      <c r="HQ299" s="175"/>
      <c r="HR299" s="175"/>
      <c r="HS299" s="175"/>
      <c r="HT299" s="175"/>
      <c r="HU299" s="175"/>
      <c r="HV299" s="175"/>
      <c r="HW299" s="175"/>
      <c r="HX299" s="175"/>
      <c r="HY299" s="175"/>
      <c r="HZ299" s="175"/>
      <c r="IA299" s="175"/>
      <c r="IB299" s="175"/>
      <c r="IC299" s="175"/>
      <c r="ID299" s="175"/>
      <c r="IE299" s="175"/>
      <c r="IF299" s="175"/>
      <c r="IG299" s="175"/>
      <c r="IH299" s="175"/>
      <c r="II299" s="175"/>
      <c r="IJ299" s="175"/>
      <c r="IK299" s="175"/>
      <c r="IL299" s="175"/>
      <c r="IM299" s="175"/>
      <c r="IN299" s="175"/>
      <c r="IO299" s="175"/>
      <c r="IP299" s="175"/>
      <c r="IQ299" s="175"/>
      <c r="IR299" s="175"/>
      <c r="IS299" s="175"/>
      <c r="IT299" s="175"/>
      <c r="IU299" s="175"/>
      <c r="IV299" s="175"/>
      <c r="IW299" s="175"/>
      <c r="IX299" s="175"/>
      <c r="IY299" s="175"/>
      <c r="IZ299" s="175"/>
      <c r="JA299" s="175"/>
      <c r="JB299" s="175"/>
      <c r="JC299" s="175"/>
      <c r="JD299" s="175"/>
      <c r="JE299" s="175"/>
      <c r="JF299" s="175"/>
      <c r="JG299" s="175"/>
      <c r="JH299" s="175"/>
      <c r="JI299" s="175"/>
      <c r="JJ299" s="175"/>
      <c r="JK299" s="175"/>
      <c r="JL299" s="175"/>
      <c r="JM299" s="175"/>
      <c r="JN299" s="175"/>
      <c r="JO299" s="175"/>
      <c r="JP299" s="175"/>
      <c r="JQ299" s="175"/>
      <c r="JR299" s="175"/>
      <c r="JS299" s="175"/>
      <c r="JT299" s="175"/>
      <c r="JU299" s="175"/>
      <c r="JV299" s="175"/>
      <c r="JW299" s="175"/>
      <c r="JX299" s="175"/>
      <c r="JY299" s="175"/>
      <c r="JZ299" s="175"/>
      <c r="KA299" s="175"/>
      <c r="KB299" s="175"/>
      <c r="KC299" s="175"/>
      <c r="KD299" s="175"/>
      <c r="KE299" s="175"/>
      <c r="KF299" s="175"/>
      <c r="KG299" s="175"/>
      <c r="KH299" s="175"/>
      <c r="KI299" s="175"/>
      <c r="KJ299" s="175"/>
      <c r="KK299" s="175"/>
      <c r="KL299" s="175"/>
      <c r="KM299" s="175"/>
      <c r="KN299" s="175"/>
      <c r="KO299" s="175"/>
      <c r="KP299" s="175"/>
      <c r="KQ299" s="175"/>
      <c r="KR299" s="175"/>
      <c r="KS299" s="175"/>
      <c r="KT299" s="175"/>
      <c r="KU299" s="175"/>
    </row>
    <row r="300" spans="1:307" x14ac:dyDescent="0.2">
      <c r="A300" s="172"/>
      <c r="B300" s="172"/>
      <c r="C300" s="172"/>
      <c r="D300" s="172"/>
      <c r="E300" s="172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  <c r="AP300" s="172"/>
      <c r="AQ300" s="172"/>
      <c r="AR300" s="172"/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  <c r="BC300" s="172"/>
      <c r="BD300" s="172"/>
      <c r="BE300" s="172"/>
      <c r="BF300" s="172"/>
      <c r="BG300" s="172"/>
      <c r="BH300" s="172"/>
      <c r="BI300" s="172"/>
      <c r="BJ300" s="172"/>
      <c r="BK300" s="172"/>
      <c r="BL300" s="172"/>
      <c r="BM300" s="172"/>
      <c r="BN300" s="172"/>
      <c r="BO300" s="172"/>
      <c r="BP300" s="172"/>
      <c r="BQ300" s="172"/>
      <c r="BR300" s="172"/>
      <c r="BS300" s="172"/>
      <c r="BT300" s="172"/>
      <c r="BU300" s="172"/>
      <c r="BV300" s="172"/>
      <c r="BW300" s="172"/>
      <c r="BX300" s="175"/>
      <c r="BY300" s="175"/>
      <c r="BZ300" s="175"/>
      <c r="CA300" s="175"/>
      <c r="CB300" s="175"/>
      <c r="CC300" s="175"/>
      <c r="CD300" s="175"/>
      <c r="CE300" s="175"/>
      <c r="CF300" s="175"/>
      <c r="CG300" s="175"/>
      <c r="CH300" s="175"/>
      <c r="CI300" s="175"/>
      <c r="CJ300" s="175"/>
      <c r="CK300" s="175"/>
      <c r="CL300" s="175"/>
      <c r="CM300" s="175"/>
      <c r="CN300" s="175"/>
      <c r="CO300" s="175"/>
      <c r="CP300" s="175"/>
      <c r="CQ300" s="175"/>
      <c r="CR300" s="175"/>
      <c r="CS300" s="175"/>
      <c r="CT300" s="175"/>
      <c r="CU300" s="175"/>
      <c r="CV300" s="175"/>
      <c r="CW300" s="175"/>
      <c r="CX300" s="175"/>
      <c r="CY300" s="175"/>
      <c r="CZ300" s="175"/>
      <c r="DA300" s="175"/>
      <c r="DB300" s="175"/>
      <c r="DC300" s="175"/>
      <c r="DD300" s="175"/>
      <c r="DE300" s="175"/>
      <c r="DF300" s="175"/>
      <c r="DG300" s="175"/>
      <c r="DH300" s="175"/>
      <c r="DI300" s="175"/>
      <c r="DJ300" s="175"/>
      <c r="DK300" s="175"/>
      <c r="DL300" s="175"/>
      <c r="DM300" s="175"/>
      <c r="DN300" s="175"/>
      <c r="DO300" s="175"/>
      <c r="DP300" s="175"/>
      <c r="DQ300" s="175"/>
      <c r="DR300" s="175"/>
      <c r="DS300" s="175"/>
      <c r="DT300" s="175"/>
      <c r="DU300" s="175"/>
      <c r="DV300" s="175"/>
      <c r="DW300" s="175"/>
      <c r="DX300" s="175"/>
      <c r="DY300" s="175"/>
      <c r="DZ300" s="175"/>
      <c r="EA300" s="175"/>
      <c r="EB300" s="175"/>
      <c r="EC300" s="175"/>
      <c r="ED300" s="175"/>
      <c r="EE300" s="175"/>
      <c r="EF300" s="175"/>
      <c r="EG300" s="175"/>
      <c r="EH300" s="175"/>
      <c r="EI300" s="175"/>
      <c r="EJ300" s="175"/>
      <c r="EK300" s="175"/>
      <c r="EL300" s="175"/>
      <c r="EM300" s="175"/>
      <c r="EN300" s="175"/>
      <c r="EO300" s="175"/>
      <c r="EP300" s="175"/>
      <c r="EQ300" s="175"/>
      <c r="ER300" s="175"/>
      <c r="ES300" s="175"/>
      <c r="ET300" s="175"/>
      <c r="EU300" s="175"/>
      <c r="EV300" s="175"/>
      <c r="EW300" s="175"/>
      <c r="EX300" s="175"/>
      <c r="EY300" s="175"/>
      <c r="EZ300" s="175"/>
      <c r="FA300" s="175"/>
      <c r="FB300" s="175"/>
      <c r="FC300" s="175"/>
      <c r="FD300" s="175"/>
      <c r="FE300" s="175"/>
      <c r="FF300" s="175"/>
      <c r="FG300" s="175"/>
      <c r="FH300" s="175"/>
      <c r="FI300" s="175"/>
      <c r="FJ300" s="175"/>
      <c r="FK300" s="175"/>
      <c r="FL300" s="175"/>
      <c r="FM300" s="175"/>
      <c r="FN300" s="175"/>
      <c r="FO300" s="175"/>
      <c r="FP300" s="175"/>
      <c r="FQ300" s="175"/>
      <c r="FR300" s="175"/>
      <c r="FS300" s="175"/>
      <c r="FT300" s="175"/>
      <c r="FU300" s="175"/>
      <c r="FV300" s="175"/>
      <c r="FW300" s="175"/>
      <c r="FX300" s="175"/>
      <c r="FY300" s="175"/>
      <c r="FZ300" s="175"/>
      <c r="GA300" s="175"/>
      <c r="GB300" s="175"/>
      <c r="GC300" s="175"/>
      <c r="GD300" s="175"/>
      <c r="GE300" s="175"/>
      <c r="GF300" s="175"/>
      <c r="GG300" s="175"/>
      <c r="GH300" s="175"/>
      <c r="GI300" s="175"/>
      <c r="GJ300" s="175"/>
      <c r="GK300" s="175"/>
      <c r="GL300" s="175"/>
      <c r="GM300" s="175"/>
      <c r="GN300" s="175"/>
      <c r="GO300" s="175"/>
      <c r="GP300" s="175"/>
      <c r="GQ300" s="175"/>
      <c r="GR300" s="175"/>
      <c r="GS300" s="175"/>
      <c r="GT300" s="175"/>
      <c r="GU300" s="175"/>
      <c r="GV300" s="175"/>
      <c r="GW300" s="175"/>
      <c r="GX300" s="175"/>
      <c r="GY300" s="175"/>
      <c r="GZ300" s="175"/>
      <c r="HA300" s="175"/>
      <c r="HB300" s="175"/>
      <c r="HC300" s="175"/>
      <c r="HD300" s="175"/>
      <c r="HE300" s="175"/>
      <c r="HF300" s="175"/>
      <c r="HG300" s="175"/>
      <c r="HH300" s="175"/>
      <c r="HI300" s="175"/>
      <c r="HJ300" s="175"/>
      <c r="HK300" s="175"/>
      <c r="HL300" s="175"/>
      <c r="HM300" s="175"/>
      <c r="HN300" s="175"/>
      <c r="HO300" s="175"/>
      <c r="HP300" s="175"/>
      <c r="HQ300" s="175"/>
      <c r="HR300" s="175"/>
      <c r="HS300" s="175"/>
      <c r="HT300" s="175"/>
      <c r="HU300" s="175"/>
      <c r="HV300" s="175"/>
      <c r="HW300" s="175"/>
      <c r="HX300" s="175"/>
      <c r="HY300" s="175"/>
      <c r="HZ300" s="175"/>
      <c r="IA300" s="175"/>
      <c r="IB300" s="175"/>
      <c r="IC300" s="175"/>
      <c r="ID300" s="175"/>
      <c r="IE300" s="175"/>
      <c r="IF300" s="175"/>
      <c r="IG300" s="175"/>
      <c r="IH300" s="175"/>
      <c r="II300" s="175"/>
      <c r="IJ300" s="175"/>
      <c r="IK300" s="175"/>
      <c r="IL300" s="175"/>
      <c r="IM300" s="175"/>
      <c r="IN300" s="175"/>
      <c r="IO300" s="175"/>
      <c r="IP300" s="175"/>
      <c r="IQ300" s="175"/>
      <c r="IR300" s="175"/>
      <c r="IS300" s="175"/>
      <c r="IT300" s="175"/>
      <c r="IU300" s="175"/>
      <c r="IV300" s="175"/>
      <c r="IW300" s="175"/>
      <c r="IX300" s="175"/>
      <c r="IY300" s="175"/>
      <c r="IZ300" s="175"/>
      <c r="JA300" s="175"/>
      <c r="JB300" s="175"/>
      <c r="JC300" s="175"/>
      <c r="JD300" s="175"/>
      <c r="JE300" s="175"/>
      <c r="JF300" s="175"/>
      <c r="JG300" s="175"/>
      <c r="JH300" s="175"/>
      <c r="JI300" s="175"/>
      <c r="JJ300" s="175"/>
      <c r="JK300" s="175"/>
      <c r="JL300" s="175"/>
      <c r="JM300" s="175"/>
      <c r="JN300" s="175"/>
      <c r="JO300" s="175"/>
      <c r="JP300" s="175"/>
      <c r="JQ300" s="175"/>
      <c r="JR300" s="175"/>
      <c r="JS300" s="175"/>
      <c r="JT300" s="175"/>
      <c r="JU300" s="175"/>
      <c r="JV300" s="175"/>
      <c r="JW300" s="175"/>
      <c r="JX300" s="175"/>
      <c r="JY300" s="175"/>
      <c r="JZ300" s="175"/>
      <c r="KA300" s="175"/>
      <c r="KB300" s="175"/>
      <c r="KC300" s="175"/>
      <c r="KD300" s="175"/>
      <c r="KE300" s="175"/>
      <c r="KF300" s="175"/>
      <c r="KG300" s="175"/>
      <c r="KH300" s="175"/>
      <c r="KI300" s="175"/>
      <c r="KJ300" s="175"/>
      <c r="KK300" s="175"/>
      <c r="KL300" s="175"/>
      <c r="KM300" s="175"/>
      <c r="KN300" s="175"/>
      <c r="KO300" s="175"/>
      <c r="KP300" s="175"/>
      <c r="KQ300" s="175"/>
      <c r="KR300" s="175"/>
      <c r="KS300" s="175"/>
      <c r="KT300" s="175"/>
      <c r="KU300" s="175"/>
    </row>
    <row r="301" spans="1:307" x14ac:dyDescent="0.2">
      <c r="A301" s="172"/>
      <c r="B301" s="172"/>
      <c r="C301" s="172"/>
      <c r="D301" s="172"/>
      <c r="E301" s="172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  <c r="AP301" s="172"/>
      <c r="AQ301" s="172"/>
      <c r="AR301" s="172"/>
      <c r="AS301" s="172"/>
      <c r="AT301" s="172"/>
      <c r="AU301" s="172"/>
      <c r="AV301" s="172"/>
      <c r="AW301" s="172"/>
      <c r="AX301" s="172"/>
      <c r="AY301" s="172"/>
      <c r="AZ301" s="172"/>
      <c r="BA301" s="172"/>
      <c r="BB301" s="172"/>
      <c r="BC301" s="172"/>
      <c r="BD301" s="172"/>
      <c r="BE301" s="172"/>
      <c r="BF301" s="172"/>
      <c r="BG301" s="172"/>
      <c r="BH301" s="172"/>
      <c r="BI301" s="172"/>
      <c r="BJ301" s="172"/>
      <c r="BK301" s="172"/>
      <c r="BL301" s="172"/>
      <c r="BM301" s="172"/>
      <c r="BN301" s="172"/>
      <c r="BO301" s="172"/>
      <c r="BP301" s="172"/>
      <c r="BQ301" s="172"/>
      <c r="BR301" s="172"/>
      <c r="BS301" s="172"/>
      <c r="BT301" s="172"/>
      <c r="BU301" s="172"/>
      <c r="BV301" s="172"/>
      <c r="BW301" s="172"/>
      <c r="BX301" s="175"/>
      <c r="BY301" s="175"/>
      <c r="BZ301" s="175"/>
      <c r="CA301" s="175"/>
      <c r="CB301" s="175"/>
      <c r="CC301" s="175"/>
      <c r="CD301" s="175"/>
      <c r="CE301" s="175"/>
      <c r="CF301" s="175"/>
      <c r="CG301" s="175"/>
      <c r="CH301" s="175"/>
      <c r="CI301" s="175"/>
      <c r="CJ301" s="175"/>
      <c r="CK301" s="175"/>
      <c r="CL301" s="175"/>
      <c r="CM301" s="175"/>
      <c r="CN301" s="175"/>
      <c r="CO301" s="175"/>
      <c r="CP301" s="175"/>
      <c r="CQ301" s="175"/>
      <c r="CR301" s="175"/>
      <c r="CS301" s="175"/>
      <c r="CT301" s="175"/>
      <c r="CU301" s="175"/>
      <c r="CV301" s="175"/>
      <c r="CW301" s="175"/>
      <c r="CX301" s="175"/>
      <c r="CY301" s="175"/>
      <c r="CZ301" s="175"/>
      <c r="DA301" s="175"/>
      <c r="DB301" s="175"/>
      <c r="DC301" s="175"/>
      <c r="DD301" s="175"/>
      <c r="DE301" s="175"/>
      <c r="DF301" s="175"/>
      <c r="DG301" s="175"/>
      <c r="DH301" s="175"/>
      <c r="DI301" s="175"/>
      <c r="DJ301" s="175"/>
      <c r="DK301" s="175"/>
      <c r="DL301" s="175"/>
      <c r="DM301" s="175"/>
      <c r="DN301" s="175"/>
      <c r="DO301" s="175"/>
      <c r="DP301" s="175"/>
      <c r="DQ301" s="175"/>
      <c r="DR301" s="175"/>
      <c r="DS301" s="175"/>
      <c r="DT301" s="175"/>
      <c r="DU301" s="175"/>
      <c r="DV301" s="175"/>
      <c r="DW301" s="175"/>
      <c r="DX301" s="175"/>
      <c r="DY301" s="175"/>
      <c r="DZ301" s="175"/>
      <c r="EA301" s="175"/>
      <c r="EB301" s="175"/>
      <c r="EC301" s="175"/>
      <c r="ED301" s="175"/>
      <c r="EE301" s="175"/>
      <c r="EF301" s="175"/>
      <c r="EG301" s="175"/>
      <c r="EH301" s="175"/>
      <c r="EI301" s="175"/>
      <c r="EJ301" s="175"/>
      <c r="EK301" s="175"/>
      <c r="EL301" s="175"/>
      <c r="EM301" s="175"/>
      <c r="EN301" s="175"/>
      <c r="EO301" s="175"/>
      <c r="EP301" s="175"/>
      <c r="EQ301" s="175"/>
      <c r="ER301" s="175"/>
      <c r="ES301" s="175"/>
      <c r="ET301" s="175"/>
      <c r="EU301" s="175"/>
      <c r="EV301" s="175"/>
      <c r="EW301" s="175"/>
      <c r="EX301" s="175"/>
      <c r="EY301" s="175"/>
      <c r="EZ301" s="175"/>
      <c r="FA301" s="175"/>
      <c r="FB301" s="175"/>
      <c r="FC301" s="175"/>
      <c r="FD301" s="175"/>
      <c r="FE301" s="175"/>
      <c r="FF301" s="175"/>
      <c r="FG301" s="175"/>
      <c r="FH301" s="175"/>
      <c r="FI301" s="175"/>
      <c r="FJ301" s="175"/>
      <c r="FK301" s="175"/>
      <c r="FL301" s="175"/>
      <c r="FM301" s="175"/>
      <c r="FN301" s="175"/>
      <c r="FO301" s="175"/>
      <c r="FP301" s="175"/>
      <c r="FQ301" s="175"/>
      <c r="FR301" s="175"/>
      <c r="FS301" s="175"/>
      <c r="FT301" s="175"/>
      <c r="FU301" s="175"/>
      <c r="FV301" s="175"/>
      <c r="FW301" s="175"/>
      <c r="FX301" s="175"/>
      <c r="FY301" s="175"/>
      <c r="FZ301" s="175"/>
      <c r="GA301" s="175"/>
      <c r="GB301" s="175"/>
      <c r="GC301" s="175"/>
      <c r="GD301" s="175"/>
      <c r="GE301" s="175"/>
      <c r="GF301" s="175"/>
      <c r="GG301" s="175"/>
      <c r="GH301" s="175"/>
      <c r="GI301" s="175"/>
      <c r="GJ301" s="175"/>
      <c r="GK301" s="175"/>
      <c r="GL301" s="175"/>
      <c r="GM301" s="175"/>
      <c r="GN301" s="175"/>
      <c r="GO301" s="175"/>
      <c r="GP301" s="175"/>
      <c r="GQ301" s="175"/>
      <c r="GR301" s="175"/>
      <c r="GS301" s="175"/>
      <c r="GT301" s="175"/>
      <c r="GU301" s="175"/>
      <c r="GV301" s="175"/>
      <c r="GW301" s="175"/>
      <c r="GX301" s="175"/>
      <c r="GY301" s="175"/>
      <c r="GZ301" s="175"/>
      <c r="HA301" s="175"/>
      <c r="HB301" s="175"/>
      <c r="HC301" s="175"/>
      <c r="HD301" s="175"/>
      <c r="HE301" s="175"/>
      <c r="HF301" s="175"/>
      <c r="HG301" s="175"/>
      <c r="HH301" s="175"/>
      <c r="HI301" s="175"/>
      <c r="HJ301" s="175"/>
      <c r="HK301" s="175"/>
      <c r="HL301" s="175"/>
      <c r="HM301" s="175"/>
      <c r="HN301" s="175"/>
      <c r="HO301" s="175"/>
      <c r="HP301" s="175"/>
      <c r="HQ301" s="175"/>
      <c r="HR301" s="175"/>
      <c r="HS301" s="175"/>
      <c r="HT301" s="175"/>
      <c r="HU301" s="175"/>
      <c r="HV301" s="175"/>
      <c r="HW301" s="175"/>
      <c r="HX301" s="175"/>
      <c r="HY301" s="175"/>
      <c r="HZ301" s="175"/>
      <c r="IA301" s="175"/>
      <c r="IB301" s="175"/>
      <c r="IC301" s="175"/>
      <c r="ID301" s="175"/>
      <c r="IE301" s="175"/>
      <c r="IF301" s="175"/>
      <c r="IG301" s="175"/>
      <c r="IH301" s="175"/>
      <c r="II301" s="175"/>
      <c r="IJ301" s="175"/>
      <c r="IK301" s="175"/>
      <c r="IL301" s="175"/>
      <c r="IM301" s="175"/>
      <c r="IN301" s="175"/>
      <c r="IO301" s="175"/>
      <c r="IP301" s="175"/>
      <c r="IQ301" s="175"/>
      <c r="IR301" s="175"/>
      <c r="IS301" s="175"/>
      <c r="IT301" s="175"/>
      <c r="IU301" s="175"/>
      <c r="IV301" s="175"/>
      <c r="IW301" s="175"/>
      <c r="IX301" s="175"/>
      <c r="IY301" s="175"/>
      <c r="IZ301" s="175"/>
      <c r="JA301" s="175"/>
      <c r="JB301" s="175"/>
      <c r="JC301" s="175"/>
      <c r="JD301" s="175"/>
      <c r="JE301" s="175"/>
      <c r="JF301" s="175"/>
      <c r="JG301" s="175"/>
      <c r="JH301" s="175"/>
      <c r="JI301" s="175"/>
      <c r="JJ301" s="175"/>
      <c r="JK301" s="175"/>
      <c r="JL301" s="175"/>
      <c r="JM301" s="175"/>
      <c r="JN301" s="175"/>
      <c r="JO301" s="175"/>
      <c r="JP301" s="175"/>
      <c r="JQ301" s="175"/>
      <c r="JR301" s="175"/>
      <c r="JS301" s="175"/>
      <c r="JT301" s="175"/>
      <c r="JU301" s="175"/>
      <c r="JV301" s="175"/>
      <c r="JW301" s="175"/>
      <c r="JX301" s="175"/>
      <c r="JY301" s="175"/>
      <c r="JZ301" s="175"/>
      <c r="KA301" s="175"/>
      <c r="KB301" s="175"/>
      <c r="KC301" s="175"/>
      <c r="KD301" s="175"/>
      <c r="KE301" s="175"/>
      <c r="KF301" s="175"/>
      <c r="KG301" s="175"/>
      <c r="KH301" s="175"/>
      <c r="KI301" s="175"/>
      <c r="KJ301" s="175"/>
      <c r="KK301" s="175"/>
      <c r="KL301" s="175"/>
      <c r="KM301" s="175"/>
      <c r="KN301" s="175"/>
      <c r="KO301" s="175"/>
      <c r="KP301" s="175"/>
      <c r="KQ301" s="175"/>
      <c r="KR301" s="175"/>
      <c r="KS301" s="175"/>
      <c r="KT301" s="175"/>
      <c r="KU301" s="175"/>
    </row>
    <row r="302" spans="1:307" x14ac:dyDescent="0.2">
      <c r="A302" s="172"/>
      <c r="B302" s="172"/>
      <c r="C302" s="172"/>
      <c r="D302" s="172"/>
      <c r="E302" s="172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  <c r="BC302" s="172"/>
      <c r="BD302" s="172"/>
      <c r="BE302" s="172"/>
      <c r="BF302" s="172"/>
      <c r="BG302" s="172"/>
      <c r="BH302" s="172"/>
      <c r="BI302" s="172"/>
      <c r="BJ302" s="172"/>
      <c r="BK302" s="172"/>
      <c r="BL302" s="172"/>
      <c r="BM302" s="172"/>
      <c r="BN302" s="172"/>
      <c r="BO302" s="172"/>
      <c r="BP302" s="172"/>
      <c r="BQ302" s="172"/>
      <c r="BR302" s="172"/>
      <c r="BS302" s="172"/>
      <c r="BT302" s="172"/>
      <c r="BU302" s="172"/>
      <c r="BV302" s="172"/>
      <c r="BW302" s="172"/>
      <c r="BX302" s="175"/>
      <c r="BY302" s="175"/>
      <c r="BZ302" s="175"/>
      <c r="CA302" s="175"/>
      <c r="CB302" s="175"/>
      <c r="CC302" s="175"/>
      <c r="CD302" s="175"/>
      <c r="CE302" s="175"/>
      <c r="CF302" s="175"/>
      <c r="CG302" s="175"/>
      <c r="CH302" s="175"/>
      <c r="CI302" s="175"/>
      <c r="CJ302" s="175"/>
      <c r="CK302" s="175"/>
      <c r="CL302" s="175"/>
      <c r="CM302" s="175"/>
      <c r="CN302" s="175"/>
      <c r="CO302" s="175"/>
      <c r="CP302" s="175"/>
      <c r="CQ302" s="175"/>
      <c r="CR302" s="175"/>
      <c r="CS302" s="175"/>
      <c r="CT302" s="175"/>
      <c r="CU302" s="175"/>
      <c r="CV302" s="175"/>
      <c r="CW302" s="175"/>
      <c r="CX302" s="175"/>
      <c r="CY302" s="175"/>
      <c r="CZ302" s="175"/>
      <c r="DA302" s="175"/>
      <c r="DB302" s="175"/>
      <c r="DC302" s="175"/>
      <c r="DD302" s="175"/>
      <c r="DE302" s="175"/>
      <c r="DF302" s="175"/>
      <c r="DG302" s="175"/>
      <c r="DH302" s="175"/>
      <c r="DI302" s="175"/>
      <c r="DJ302" s="175"/>
      <c r="DK302" s="175"/>
      <c r="DL302" s="175"/>
      <c r="DM302" s="175"/>
      <c r="DN302" s="175"/>
      <c r="DO302" s="175"/>
      <c r="DP302" s="175"/>
      <c r="DQ302" s="175"/>
      <c r="DR302" s="175"/>
      <c r="DS302" s="175"/>
      <c r="DT302" s="175"/>
      <c r="DU302" s="175"/>
      <c r="DV302" s="175"/>
      <c r="DW302" s="175"/>
      <c r="DX302" s="175"/>
      <c r="DY302" s="175"/>
      <c r="DZ302" s="175"/>
      <c r="EA302" s="175"/>
      <c r="EB302" s="175"/>
      <c r="EC302" s="175"/>
      <c r="ED302" s="175"/>
      <c r="EE302" s="175"/>
      <c r="EF302" s="175"/>
      <c r="EG302" s="175"/>
      <c r="EH302" s="175"/>
      <c r="EI302" s="175"/>
      <c r="EJ302" s="175"/>
      <c r="EK302" s="175"/>
      <c r="EL302" s="175"/>
      <c r="EM302" s="175"/>
      <c r="EN302" s="175"/>
      <c r="EO302" s="175"/>
      <c r="EP302" s="175"/>
      <c r="EQ302" s="175"/>
      <c r="ER302" s="175"/>
      <c r="ES302" s="175"/>
      <c r="ET302" s="175"/>
      <c r="EU302" s="175"/>
      <c r="EV302" s="175"/>
      <c r="EW302" s="175"/>
      <c r="EX302" s="175"/>
      <c r="EY302" s="175"/>
      <c r="EZ302" s="175"/>
      <c r="FA302" s="175"/>
      <c r="FB302" s="175"/>
      <c r="FC302" s="175"/>
      <c r="FD302" s="175"/>
      <c r="FE302" s="175"/>
      <c r="FF302" s="175"/>
      <c r="FG302" s="175"/>
      <c r="FH302" s="175"/>
      <c r="FI302" s="175"/>
      <c r="FJ302" s="175"/>
      <c r="FK302" s="175"/>
      <c r="FL302" s="175"/>
      <c r="FM302" s="175"/>
      <c r="FN302" s="175"/>
      <c r="FO302" s="175"/>
      <c r="FP302" s="175"/>
      <c r="FQ302" s="175"/>
      <c r="FR302" s="175"/>
      <c r="FS302" s="175"/>
      <c r="FT302" s="175"/>
      <c r="FU302" s="175"/>
      <c r="FV302" s="175"/>
      <c r="FW302" s="175"/>
      <c r="FX302" s="175"/>
      <c r="FY302" s="175"/>
      <c r="FZ302" s="175"/>
      <c r="GA302" s="175"/>
      <c r="GB302" s="175"/>
      <c r="GC302" s="175"/>
      <c r="GD302" s="175"/>
      <c r="GE302" s="175"/>
      <c r="GF302" s="175"/>
      <c r="GG302" s="175"/>
      <c r="GH302" s="175"/>
      <c r="GI302" s="175"/>
      <c r="GJ302" s="175"/>
      <c r="GK302" s="175"/>
      <c r="GL302" s="175"/>
      <c r="GM302" s="175"/>
      <c r="GN302" s="175"/>
      <c r="GO302" s="175"/>
      <c r="GP302" s="175"/>
      <c r="GQ302" s="175"/>
      <c r="GR302" s="175"/>
      <c r="GS302" s="175"/>
      <c r="GT302" s="175"/>
      <c r="GU302" s="175"/>
      <c r="GV302" s="175"/>
      <c r="GW302" s="175"/>
      <c r="GX302" s="175"/>
      <c r="GY302" s="175"/>
      <c r="GZ302" s="175"/>
      <c r="HA302" s="175"/>
      <c r="HB302" s="175"/>
      <c r="HC302" s="175"/>
      <c r="HD302" s="175"/>
      <c r="HE302" s="175"/>
      <c r="HF302" s="175"/>
      <c r="HG302" s="175"/>
      <c r="HH302" s="175"/>
      <c r="HI302" s="175"/>
      <c r="HJ302" s="175"/>
      <c r="HK302" s="175"/>
      <c r="HL302" s="175"/>
      <c r="HM302" s="175"/>
      <c r="HN302" s="175"/>
      <c r="HO302" s="175"/>
      <c r="HP302" s="175"/>
      <c r="HQ302" s="175"/>
      <c r="HR302" s="175"/>
      <c r="HS302" s="175"/>
      <c r="HT302" s="175"/>
      <c r="HU302" s="175"/>
      <c r="HV302" s="175"/>
      <c r="HW302" s="175"/>
      <c r="HX302" s="175"/>
      <c r="HY302" s="175"/>
      <c r="HZ302" s="175"/>
      <c r="IA302" s="175"/>
      <c r="IB302" s="175"/>
      <c r="IC302" s="175"/>
      <c r="ID302" s="175"/>
      <c r="IE302" s="175"/>
      <c r="IF302" s="175"/>
      <c r="IG302" s="175"/>
      <c r="IH302" s="175"/>
      <c r="II302" s="175"/>
      <c r="IJ302" s="175"/>
      <c r="IK302" s="175"/>
      <c r="IL302" s="175"/>
      <c r="IM302" s="175"/>
      <c r="IN302" s="175"/>
      <c r="IO302" s="175"/>
      <c r="IP302" s="175"/>
      <c r="IQ302" s="175"/>
      <c r="IR302" s="175"/>
      <c r="IS302" s="175"/>
      <c r="IT302" s="175"/>
      <c r="IU302" s="175"/>
      <c r="IV302" s="175"/>
      <c r="IW302" s="175"/>
      <c r="IX302" s="175"/>
      <c r="IY302" s="175"/>
      <c r="IZ302" s="175"/>
      <c r="JA302" s="175"/>
      <c r="JB302" s="175"/>
      <c r="JC302" s="175"/>
      <c r="JD302" s="175"/>
      <c r="JE302" s="175"/>
      <c r="JF302" s="175"/>
      <c r="JG302" s="175"/>
      <c r="JH302" s="175"/>
      <c r="JI302" s="175"/>
      <c r="JJ302" s="175"/>
      <c r="JK302" s="175"/>
      <c r="JL302" s="175"/>
      <c r="JM302" s="175"/>
      <c r="JN302" s="175"/>
      <c r="JO302" s="175"/>
      <c r="JP302" s="175"/>
      <c r="JQ302" s="175"/>
      <c r="JR302" s="175"/>
      <c r="JS302" s="175"/>
      <c r="JT302" s="175"/>
      <c r="JU302" s="175"/>
      <c r="JV302" s="175"/>
      <c r="JW302" s="175"/>
      <c r="JX302" s="175"/>
      <c r="JY302" s="175"/>
      <c r="JZ302" s="175"/>
      <c r="KA302" s="175"/>
      <c r="KB302" s="175"/>
      <c r="KC302" s="175"/>
      <c r="KD302" s="175"/>
      <c r="KE302" s="175"/>
      <c r="KF302" s="175"/>
      <c r="KG302" s="175"/>
      <c r="KH302" s="175"/>
      <c r="KI302" s="175"/>
      <c r="KJ302" s="175"/>
      <c r="KK302" s="175"/>
      <c r="KL302" s="175"/>
      <c r="KM302" s="175"/>
      <c r="KN302" s="175"/>
      <c r="KO302" s="175"/>
      <c r="KP302" s="175"/>
      <c r="KQ302" s="175"/>
      <c r="KR302" s="175"/>
      <c r="KS302" s="175"/>
      <c r="KT302" s="175"/>
      <c r="KU302" s="175"/>
    </row>
    <row r="303" spans="1:307" x14ac:dyDescent="0.2">
      <c r="A303" s="172"/>
      <c r="B303" s="172"/>
      <c r="C303" s="172"/>
      <c r="D303" s="172"/>
      <c r="E303" s="172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  <c r="AP303" s="172"/>
      <c r="AQ303" s="172"/>
      <c r="AR303" s="172"/>
      <c r="AS303" s="172"/>
      <c r="AT303" s="172"/>
      <c r="AU303" s="172"/>
      <c r="AV303" s="172"/>
      <c r="AW303" s="172"/>
      <c r="AX303" s="172"/>
      <c r="AY303" s="172"/>
      <c r="AZ303" s="172"/>
      <c r="BA303" s="172"/>
      <c r="BB303" s="172"/>
      <c r="BC303" s="172"/>
      <c r="BD303" s="172"/>
      <c r="BE303" s="172"/>
      <c r="BF303" s="172"/>
      <c r="BG303" s="172"/>
      <c r="BH303" s="172"/>
      <c r="BI303" s="172"/>
      <c r="BJ303" s="172"/>
      <c r="BK303" s="172"/>
      <c r="BL303" s="172"/>
      <c r="BM303" s="172"/>
      <c r="BN303" s="172"/>
      <c r="BO303" s="172"/>
      <c r="BP303" s="172"/>
      <c r="BQ303" s="172"/>
      <c r="BR303" s="172"/>
      <c r="BS303" s="172"/>
      <c r="BT303" s="172"/>
      <c r="BU303" s="172"/>
      <c r="BV303" s="172"/>
      <c r="BW303" s="172"/>
      <c r="BX303" s="175"/>
      <c r="BY303" s="175"/>
      <c r="BZ303" s="175"/>
      <c r="CA303" s="175"/>
      <c r="CB303" s="175"/>
      <c r="CC303" s="175"/>
      <c r="CD303" s="175"/>
      <c r="CE303" s="175"/>
      <c r="CF303" s="175"/>
      <c r="CG303" s="175"/>
      <c r="CH303" s="175"/>
      <c r="CI303" s="175"/>
      <c r="CJ303" s="175"/>
      <c r="CK303" s="175"/>
      <c r="CL303" s="175"/>
      <c r="CM303" s="175"/>
      <c r="CN303" s="175"/>
      <c r="CO303" s="175"/>
      <c r="CP303" s="175"/>
      <c r="CQ303" s="175"/>
      <c r="CR303" s="175"/>
      <c r="CS303" s="175"/>
      <c r="CT303" s="175"/>
      <c r="CU303" s="175"/>
      <c r="CV303" s="175"/>
      <c r="CW303" s="175"/>
      <c r="CX303" s="175"/>
      <c r="CY303" s="175"/>
      <c r="CZ303" s="175"/>
      <c r="DA303" s="175"/>
      <c r="DB303" s="175"/>
      <c r="DC303" s="175"/>
      <c r="DD303" s="175"/>
      <c r="DE303" s="175"/>
      <c r="DF303" s="175"/>
      <c r="DG303" s="175"/>
      <c r="DH303" s="175"/>
      <c r="DI303" s="175"/>
      <c r="DJ303" s="175"/>
      <c r="DK303" s="175"/>
      <c r="DL303" s="175"/>
      <c r="DM303" s="175"/>
      <c r="DN303" s="175"/>
      <c r="DO303" s="175"/>
      <c r="DP303" s="175"/>
      <c r="DQ303" s="175"/>
      <c r="DR303" s="175"/>
      <c r="DS303" s="175"/>
      <c r="DT303" s="175"/>
      <c r="DU303" s="175"/>
      <c r="DV303" s="175"/>
      <c r="DW303" s="175"/>
      <c r="DX303" s="175"/>
      <c r="DY303" s="175"/>
      <c r="DZ303" s="175"/>
      <c r="EA303" s="175"/>
      <c r="EB303" s="175"/>
      <c r="EC303" s="175"/>
      <c r="ED303" s="175"/>
      <c r="EE303" s="175"/>
      <c r="EF303" s="175"/>
      <c r="EG303" s="175"/>
      <c r="EH303" s="175"/>
      <c r="EI303" s="175"/>
      <c r="EJ303" s="175"/>
      <c r="EK303" s="175"/>
      <c r="EL303" s="175"/>
      <c r="EM303" s="175"/>
      <c r="EN303" s="175"/>
      <c r="EO303" s="175"/>
      <c r="EP303" s="175"/>
      <c r="EQ303" s="175"/>
      <c r="ER303" s="175"/>
      <c r="ES303" s="175"/>
      <c r="ET303" s="175"/>
      <c r="EU303" s="175"/>
      <c r="EV303" s="175"/>
      <c r="EW303" s="175"/>
      <c r="EX303" s="175"/>
      <c r="EY303" s="175"/>
      <c r="EZ303" s="175"/>
      <c r="FA303" s="175"/>
      <c r="FB303" s="175"/>
      <c r="FC303" s="175"/>
      <c r="FD303" s="175"/>
      <c r="FE303" s="175"/>
      <c r="FF303" s="175"/>
      <c r="FG303" s="175"/>
      <c r="FH303" s="175"/>
      <c r="FI303" s="175"/>
      <c r="FJ303" s="175"/>
      <c r="FK303" s="175"/>
      <c r="FL303" s="175"/>
      <c r="FM303" s="175"/>
      <c r="FN303" s="175"/>
      <c r="FO303" s="175"/>
      <c r="FP303" s="175"/>
      <c r="FQ303" s="175"/>
      <c r="FR303" s="175"/>
      <c r="FS303" s="175"/>
      <c r="FT303" s="175"/>
      <c r="FU303" s="175"/>
      <c r="FV303" s="175"/>
      <c r="FW303" s="175"/>
      <c r="FX303" s="175"/>
      <c r="FY303" s="175"/>
      <c r="FZ303" s="175"/>
      <c r="GA303" s="175"/>
      <c r="GB303" s="175"/>
      <c r="GC303" s="175"/>
      <c r="GD303" s="175"/>
      <c r="GE303" s="175"/>
      <c r="GF303" s="175"/>
      <c r="GG303" s="175"/>
      <c r="GH303" s="175"/>
      <c r="GI303" s="175"/>
      <c r="GJ303" s="175"/>
      <c r="GK303" s="175"/>
      <c r="GL303" s="175"/>
      <c r="GM303" s="175"/>
      <c r="GN303" s="175"/>
      <c r="GO303" s="175"/>
      <c r="GP303" s="175"/>
      <c r="GQ303" s="175"/>
      <c r="GR303" s="175"/>
      <c r="GS303" s="175"/>
      <c r="GT303" s="175"/>
      <c r="GU303" s="175"/>
      <c r="GV303" s="175"/>
      <c r="GW303" s="175"/>
      <c r="GX303" s="175"/>
      <c r="GY303" s="175"/>
      <c r="GZ303" s="175"/>
      <c r="HA303" s="175"/>
      <c r="HB303" s="175"/>
      <c r="HC303" s="175"/>
      <c r="HD303" s="175"/>
      <c r="HE303" s="175"/>
      <c r="HF303" s="175"/>
      <c r="HG303" s="175"/>
      <c r="HH303" s="175"/>
      <c r="HI303" s="175"/>
      <c r="HJ303" s="175"/>
      <c r="HK303" s="175"/>
      <c r="HL303" s="175"/>
      <c r="HM303" s="175"/>
      <c r="HN303" s="175"/>
      <c r="HO303" s="175"/>
      <c r="HP303" s="175"/>
      <c r="HQ303" s="175"/>
      <c r="HR303" s="175"/>
      <c r="HS303" s="175"/>
      <c r="HT303" s="175"/>
      <c r="HU303" s="175"/>
      <c r="HV303" s="175"/>
      <c r="HW303" s="175"/>
      <c r="HX303" s="175"/>
      <c r="HY303" s="175"/>
      <c r="HZ303" s="175"/>
      <c r="IA303" s="175"/>
      <c r="IB303" s="175"/>
      <c r="IC303" s="175"/>
      <c r="ID303" s="175"/>
      <c r="IE303" s="175"/>
      <c r="IF303" s="175"/>
      <c r="IG303" s="175"/>
      <c r="IH303" s="175"/>
      <c r="II303" s="175"/>
      <c r="IJ303" s="175"/>
      <c r="IK303" s="175"/>
      <c r="IL303" s="175"/>
      <c r="IM303" s="175"/>
      <c r="IN303" s="175"/>
      <c r="IO303" s="175"/>
      <c r="IP303" s="175"/>
      <c r="IQ303" s="175"/>
      <c r="IR303" s="175"/>
      <c r="IS303" s="175"/>
      <c r="IT303" s="175"/>
      <c r="IU303" s="175"/>
      <c r="IV303" s="175"/>
      <c r="IW303" s="175"/>
      <c r="IX303" s="175"/>
      <c r="IY303" s="175"/>
      <c r="IZ303" s="175"/>
      <c r="JA303" s="175"/>
      <c r="JB303" s="175"/>
      <c r="JC303" s="175"/>
      <c r="JD303" s="175"/>
      <c r="JE303" s="175"/>
      <c r="JF303" s="175"/>
      <c r="JG303" s="175"/>
      <c r="JH303" s="175"/>
      <c r="JI303" s="175"/>
      <c r="JJ303" s="175"/>
      <c r="JK303" s="175"/>
      <c r="JL303" s="175"/>
      <c r="JM303" s="175"/>
      <c r="JN303" s="175"/>
      <c r="JO303" s="175"/>
      <c r="JP303" s="175"/>
      <c r="JQ303" s="175"/>
      <c r="JR303" s="175"/>
      <c r="JS303" s="175"/>
      <c r="JT303" s="175"/>
      <c r="JU303" s="175"/>
      <c r="JV303" s="175"/>
      <c r="JW303" s="175"/>
      <c r="JX303" s="175"/>
      <c r="JY303" s="175"/>
      <c r="JZ303" s="175"/>
      <c r="KA303" s="175"/>
      <c r="KB303" s="175"/>
      <c r="KC303" s="175"/>
      <c r="KD303" s="175"/>
      <c r="KE303" s="175"/>
      <c r="KF303" s="175"/>
      <c r="KG303" s="175"/>
      <c r="KH303" s="175"/>
      <c r="KI303" s="175"/>
      <c r="KJ303" s="175"/>
      <c r="KK303" s="175"/>
      <c r="KL303" s="175"/>
      <c r="KM303" s="175"/>
      <c r="KN303" s="175"/>
      <c r="KO303" s="175"/>
      <c r="KP303" s="175"/>
      <c r="KQ303" s="175"/>
      <c r="KR303" s="175"/>
      <c r="KS303" s="175"/>
      <c r="KT303" s="175"/>
      <c r="KU303" s="175"/>
    </row>
    <row r="304" spans="1:307" x14ac:dyDescent="0.2">
      <c r="A304" s="172"/>
      <c r="B304" s="172"/>
      <c r="C304" s="172"/>
      <c r="D304" s="17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  <c r="AP304" s="172"/>
      <c r="AQ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2"/>
      <c r="BC304" s="172"/>
      <c r="BD304" s="172"/>
      <c r="BE304" s="172"/>
      <c r="BF304" s="172"/>
      <c r="BG304" s="172"/>
      <c r="BH304" s="172"/>
      <c r="BI304" s="172"/>
      <c r="BJ304" s="172"/>
      <c r="BK304" s="172"/>
      <c r="BL304" s="172"/>
      <c r="BM304" s="172"/>
      <c r="BN304" s="172"/>
      <c r="BO304" s="172"/>
      <c r="BP304" s="172"/>
      <c r="BQ304" s="172"/>
      <c r="BR304" s="172"/>
      <c r="BS304" s="172"/>
      <c r="BT304" s="172"/>
      <c r="BU304" s="172"/>
      <c r="BV304" s="172"/>
      <c r="BW304" s="172"/>
      <c r="BX304" s="175"/>
      <c r="BY304" s="175"/>
      <c r="BZ304" s="175"/>
      <c r="CA304" s="175"/>
      <c r="CB304" s="175"/>
      <c r="CC304" s="175"/>
      <c r="CD304" s="175"/>
      <c r="CE304" s="175"/>
      <c r="CF304" s="175"/>
      <c r="CG304" s="175"/>
      <c r="CH304" s="175"/>
      <c r="CI304" s="175"/>
      <c r="CJ304" s="175"/>
      <c r="CK304" s="175"/>
      <c r="CL304" s="175"/>
      <c r="CM304" s="175"/>
      <c r="CN304" s="175"/>
      <c r="CO304" s="175"/>
      <c r="CP304" s="175"/>
      <c r="CQ304" s="175"/>
      <c r="CR304" s="175"/>
      <c r="CS304" s="175"/>
      <c r="CT304" s="175"/>
      <c r="CU304" s="175"/>
      <c r="CV304" s="175"/>
      <c r="CW304" s="175"/>
      <c r="CX304" s="175"/>
      <c r="CY304" s="175"/>
      <c r="CZ304" s="175"/>
      <c r="DA304" s="175"/>
      <c r="DB304" s="175"/>
      <c r="DC304" s="175"/>
      <c r="DD304" s="175"/>
      <c r="DE304" s="175"/>
      <c r="DF304" s="175"/>
      <c r="DG304" s="175"/>
      <c r="DH304" s="175"/>
      <c r="DI304" s="175"/>
      <c r="DJ304" s="175"/>
      <c r="DK304" s="175"/>
      <c r="DL304" s="175"/>
      <c r="DM304" s="175"/>
      <c r="DN304" s="175"/>
      <c r="DO304" s="175"/>
      <c r="DP304" s="175"/>
      <c r="DQ304" s="175"/>
      <c r="DR304" s="175"/>
      <c r="DS304" s="175"/>
      <c r="DT304" s="175"/>
      <c r="DU304" s="175"/>
      <c r="DV304" s="175"/>
      <c r="DW304" s="175"/>
      <c r="DX304" s="175"/>
      <c r="DY304" s="175"/>
      <c r="DZ304" s="175"/>
      <c r="EA304" s="175"/>
      <c r="EB304" s="175"/>
      <c r="EC304" s="175"/>
      <c r="ED304" s="175"/>
      <c r="EE304" s="175"/>
      <c r="EF304" s="175"/>
      <c r="EG304" s="175"/>
      <c r="EH304" s="175"/>
      <c r="EI304" s="175"/>
      <c r="EJ304" s="175"/>
      <c r="EK304" s="175"/>
      <c r="EL304" s="175"/>
      <c r="EM304" s="175"/>
      <c r="EN304" s="175"/>
      <c r="EO304" s="175"/>
      <c r="EP304" s="175"/>
      <c r="EQ304" s="175"/>
      <c r="ER304" s="175"/>
      <c r="ES304" s="175"/>
      <c r="ET304" s="175"/>
      <c r="EU304" s="175"/>
      <c r="EV304" s="175"/>
      <c r="EW304" s="175"/>
      <c r="EX304" s="175"/>
      <c r="EY304" s="175"/>
      <c r="EZ304" s="175"/>
      <c r="FA304" s="175"/>
      <c r="FB304" s="175"/>
      <c r="FC304" s="175"/>
      <c r="FD304" s="175"/>
      <c r="FE304" s="175"/>
      <c r="FF304" s="175"/>
      <c r="FG304" s="175"/>
      <c r="FH304" s="175"/>
      <c r="FI304" s="175"/>
      <c r="FJ304" s="175"/>
      <c r="FK304" s="175"/>
      <c r="FL304" s="175"/>
      <c r="FM304" s="175"/>
      <c r="FN304" s="175"/>
      <c r="FO304" s="175"/>
      <c r="FP304" s="175"/>
      <c r="FQ304" s="175"/>
      <c r="FR304" s="175"/>
      <c r="FS304" s="175"/>
      <c r="FT304" s="175"/>
      <c r="FU304" s="175"/>
      <c r="FV304" s="175"/>
      <c r="FW304" s="175"/>
      <c r="FX304" s="175"/>
      <c r="FY304" s="175"/>
      <c r="FZ304" s="175"/>
      <c r="GA304" s="175"/>
      <c r="GB304" s="175"/>
      <c r="GC304" s="175"/>
      <c r="GD304" s="175"/>
      <c r="GE304" s="175"/>
      <c r="GF304" s="175"/>
      <c r="GG304" s="175"/>
      <c r="GH304" s="175"/>
      <c r="GI304" s="175"/>
      <c r="GJ304" s="175"/>
      <c r="GK304" s="175"/>
      <c r="GL304" s="175"/>
      <c r="GM304" s="175"/>
      <c r="GN304" s="175"/>
      <c r="GO304" s="175"/>
      <c r="GP304" s="175"/>
      <c r="GQ304" s="175"/>
      <c r="GR304" s="175"/>
      <c r="GS304" s="175"/>
      <c r="GT304" s="175"/>
      <c r="GU304" s="175"/>
      <c r="GV304" s="175"/>
      <c r="GW304" s="175"/>
      <c r="GX304" s="175"/>
      <c r="GY304" s="175"/>
      <c r="GZ304" s="175"/>
      <c r="HA304" s="175"/>
      <c r="HB304" s="175"/>
      <c r="HC304" s="175"/>
      <c r="HD304" s="175"/>
      <c r="HE304" s="175"/>
      <c r="HF304" s="175"/>
      <c r="HG304" s="175"/>
      <c r="HH304" s="175"/>
      <c r="HI304" s="175"/>
      <c r="HJ304" s="175"/>
      <c r="HK304" s="175"/>
      <c r="HL304" s="175"/>
      <c r="HM304" s="175"/>
      <c r="HN304" s="175"/>
      <c r="HO304" s="175"/>
      <c r="HP304" s="175"/>
      <c r="HQ304" s="175"/>
      <c r="HR304" s="175"/>
      <c r="HS304" s="175"/>
      <c r="HT304" s="175"/>
      <c r="HU304" s="175"/>
      <c r="HV304" s="175"/>
      <c r="HW304" s="175"/>
      <c r="HX304" s="175"/>
      <c r="HY304" s="175"/>
      <c r="HZ304" s="175"/>
      <c r="IA304" s="175"/>
      <c r="IB304" s="175"/>
      <c r="IC304" s="175"/>
      <c r="ID304" s="175"/>
      <c r="IE304" s="175"/>
      <c r="IF304" s="175"/>
      <c r="IG304" s="175"/>
      <c r="IH304" s="175"/>
      <c r="II304" s="175"/>
      <c r="IJ304" s="175"/>
      <c r="IK304" s="175"/>
      <c r="IL304" s="175"/>
      <c r="IM304" s="175"/>
      <c r="IN304" s="175"/>
      <c r="IO304" s="175"/>
      <c r="IP304" s="175"/>
      <c r="IQ304" s="175"/>
      <c r="IR304" s="175"/>
      <c r="IS304" s="175"/>
      <c r="IT304" s="175"/>
      <c r="IU304" s="175"/>
      <c r="IV304" s="175"/>
      <c r="IW304" s="175"/>
      <c r="IX304" s="175"/>
      <c r="IY304" s="175"/>
      <c r="IZ304" s="175"/>
      <c r="JA304" s="175"/>
      <c r="JB304" s="175"/>
      <c r="JC304" s="175"/>
      <c r="JD304" s="175"/>
      <c r="JE304" s="175"/>
      <c r="JF304" s="175"/>
      <c r="JG304" s="175"/>
      <c r="JH304" s="175"/>
      <c r="JI304" s="175"/>
      <c r="JJ304" s="175"/>
      <c r="JK304" s="175"/>
      <c r="JL304" s="175"/>
      <c r="JM304" s="175"/>
      <c r="JN304" s="175"/>
      <c r="JO304" s="175"/>
      <c r="JP304" s="175"/>
      <c r="JQ304" s="175"/>
      <c r="JR304" s="175"/>
      <c r="JS304" s="175"/>
      <c r="JT304" s="175"/>
      <c r="JU304" s="175"/>
      <c r="JV304" s="175"/>
      <c r="JW304" s="175"/>
      <c r="JX304" s="175"/>
      <c r="JY304" s="175"/>
      <c r="JZ304" s="175"/>
      <c r="KA304" s="175"/>
      <c r="KB304" s="175"/>
      <c r="KC304" s="175"/>
      <c r="KD304" s="175"/>
      <c r="KE304" s="175"/>
      <c r="KF304" s="175"/>
      <c r="KG304" s="175"/>
      <c r="KH304" s="175"/>
      <c r="KI304" s="175"/>
      <c r="KJ304" s="175"/>
      <c r="KK304" s="175"/>
      <c r="KL304" s="175"/>
      <c r="KM304" s="175"/>
      <c r="KN304" s="175"/>
      <c r="KO304" s="175"/>
      <c r="KP304" s="175"/>
      <c r="KQ304" s="175"/>
      <c r="KR304" s="175"/>
      <c r="KS304" s="175"/>
      <c r="KT304" s="175"/>
      <c r="KU304" s="175"/>
    </row>
    <row r="305" spans="1:307" x14ac:dyDescent="0.2">
      <c r="A305" s="172"/>
      <c r="B305" s="172"/>
      <c r="C305" s="172"/>
      <c r="D305" s="172"/>
      <c r="E305" s="172"/>
      <c r="F305" s="172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  <c r="AG305" s="172"/>
      <c r="AH305" s="172"/>
      <c r="AI305" s="172"/>
      <c r="AJ305" s="172"/>
      <c r="AK305" s="172"/>
      <c r="AL305" s="172"/>
      <c r="AM305" s="172"/>
      <c r="AN305" s="172"/>
      <c r="AO305" s="172"/>
      <c r="AP305" s="172"/>
      <c r="AQ305" s="172"/>
      <c r="AR305" s="172"/>
      <c r="AS305" s="172"/>
      <c r="AT305" s="172"/>
      <c r="AU305" s="172"/>
      <c r="AV305" s="172"/>
      <c r="AW305" s="172"/>
      <c r="AX305" s="172"/>
      <c r="AY305" s="172"/>
      <c r="AZ305" s="172"/>
      <c r="BA305" s="172"/>
      <c r="BB305" s="172"/>
      <c r="BC305" s="172"/>
      <c r="BD305" s="172"/>
      <c r="BE305" s="172"/>
      <c r="BF305" s="172"/>
      <c r="BG305" s="172"/>
      <c r="BH305" s="172"/>
      <c r="BI305" s="172"/>
      <c r="BJ305" s="172"/>
      <c r="BK305" s="172"/>
      <c r="BL305" s="172"/>
      <c r="BM305" s="172"/>
      <c r="BN305" s="172"/>
      <c r="BO305" s="172"/>
      <c r="BP305" s="172"/>
      <c r="BQ305" s="172"/>
      <c r="BR305" s="172"/>
      <c r="BS305" s="172"/>
      <c r="BT305" s="172"/>
      <c r="BU305" s="172"/>
      <c r="BV305" s="172"/>
      <c r="BW305" s="172"/>
      <c r="BX305" s="175"/>
      <c r="BY305" s="175"/>
      <c r="BZ305" s="175"/>
      <c r="CA305" s="175"/>
      <c r="CB305" s="175"/>
      <c r="CC305" s="175"/>
      <c r="CD305" s="175"/>
      <c r="CE305" s="175"/>
      <c r="CF305" s="175"/>
      <c r="CG305" s="175"/>
      <c r="CH305" s="175"/>
      <c r="CI305" s="175"/>
      <c r="CJ305" s="175"/>
      <c r="CK305" s="175"/>
      <c r="CL305" s="175"/>
      <c r="CM305" s="175"/>
      <c r="CN305" s="175"/>
      <c r="CO305" s="175"/>
      <c r="CP305" s="175"/>
      <c r="CQ305" s="175"/>
      <c r="CR305" s="175"/>
      <c r="CS305" s="175"/>
      <c r="CT305" s="175"/>
      <c r="CU305" s="175"/>
      <c r="CV305" s="175"/>
      <c r="CW305" s="175"/>
      <c r="CX305" s="175"/>
      <c r="CY305" s="175"/>
      <c r="CZ305" s="175"/>
      <c r="DA305" s="175"/>
      <c r="DB305" s="175"/>
      <c r="DC305" s="175"/>
      <c r="DD305" s="175"/>
      <c r="DE305" s="175"/>
      <c r="DF305" s="175"/>
      <c r="DG305" s="175"/>
      <c r="DH305" s="175"/>
      <c r="DI305" s="175"/>
      <c r="DJ305" s="175"/>
      <c r="DK305" s="175"/>
      <c r="DL305" s="175"/>
      <c r="DM305" s="175"/>
      <c r="DN305" s="175"/>
      <c r="DO305" s="175"/>
      <c r="DP305" s="175"/>
      <c r="DQ305" s="175"/>
      <c r="DR305" s="175"/>
      <c r="DS305" s="175"/>
      <c r="DT305" s="175"/>
      <c r="DU305" s="175"/>
      <c r="DV305" s="175"/>
      <c r="DW305" s="175"/>
      <c r="DX305" s="175"/>
      <c r="DY305" s="175"/>
      <c r="DZ305" s="175"/>
      <c r="EA305" s="175"/>
      <c r="EB305" s="175"/>
      <c r="EC305" s="175"/>
      <c r="ED305" s="175"/>
      <c r="EE305" s="175"/>
      <c r="EF305" s="175"/>
      <c r="EG305" s="175"/>
      <c r="EH305" s="175"/>
      <c r="EI305" s="175"/>
      <c r="EJ305" s="175"/>
      <c r="EK305" s="175"/>
      <c r="EL305" s="175"/>
      <c r="EM305" s="175"/>
      <c r="EN305" s="175"/>
      <c r="EO305" s="175"/>
      <c r="EP305" s="175"/>
      <c r="EQ305" s="175"/>
      <c r="ER305" s="175"/>
      <c r="ES305" s="175"/>
      <c r="ET305" s="175"/>
      <c r="EU305" s="175"/>
      <c r="EV305" s="175"/>
      <c r="EW305" s="175"/>
      <c r="EX305" s="175"/>
      <c r="EY305" s="175"/>
      <c r="EZ305" s="175"/>
      <c r="FA305" s="175"/>
      <c r="FB305" s="175"/>
      <c r="FC305" s="175"/>
      <c r="FD305" s="175"/>
      <c r="FE305" s="175"/>
      <c r="FF305" s="175"/>
      <c r="FG305" s="175"/>
      <c r="FH305" s="175"/>
      <c r="FI305" s="175"/>
      <c r="FJ305" s="175"/>
      <c r="FK305" s="175"/>
      <c r="FL305" s="175"/>
      <c r="FM305" s="175"/>
      <c r="FN305" s="175"/>
      <c r="FO305" s="175"/>
      <c r="FP305" s="175"/>
      <c r="FQ305" s="175"/>
      <c r="FR305" s="175"/>
      <c r="FS305" s="175"/>
      <c r="FT305" s="175"/>
      <c r="FU305" s="175"/>
      <c r="FV305" s="175"/>
      <c r="FW305" s="175"/>
      <c r="FX305" s="175"/>
      <c r="FY305" s="175"/>
      <c r="FZ305" s="175"/>
      <c r="GA305" s="175"/>
      <c r="GB305" s="175"/>
      <c r="GC305" s="175"/>
      <c r="GD305" s="175"/>
      <c r="GE305" s="175"/>
      <c r="GF305" s="175"/>
      <c r="GG305" s="175"/>
      <c r="GH305" s="175"/>
      <c r="GI305" s="175"/>
      <c r="GJ305" s="175"/>
      <c r="GK305" s="175"/>
      <c r="GL305" s="175"/>
      <c r="GM305" s="175"/>
      <c r="GN305" s="175"/>
      <c r="GO305" s="175"/>
      <c r="GP305" s="175"/>
      <c r="GQ305" s="175"/>
      <c r="GR305" s="175"/>
      <c r="GS305" s="175"/>
      <c r="GT305" s="175"/>
      <c r="GU305" s="175"/>
      <c r="GV305" s="175"/>
      <c r="GW305" s="175"/>
      <c r="GX305" s="175"/>
      <c r="GY305" s="175"/>
      <c r="GZ305" s="175"/>
      <c r="HA305" s="175"/>
      <c r="HB305" s="175"/>
      <c r="HC305" s="175"/>
      <c r="HD305" s="175"/>
      <c r="HE305" s="175"/>
      <c r="HF305" s="175"/>
      <c r="HG305" s="175"/>
      <c r="HH305" s="175"/>
      <c r="HI305" s="175"/>
      <c r="HJ305" s="175"/>
      <c r="HK305" s="175"/>
      <c r="HL305" s="175"/>
      <c r="HM305" s="175"/>
      <c r="HN305" s="175"/>
      <c r="HO305" s="175"/>
      <c r="HP305" s="175"/>
      <c r="HQ305" s="175"/>
      <c r="HR305" s="175"/>
      <c r="HS305" s="175"/>
      <c r="HT305" s="175"/>
      <c r="HU305" s="175"/>
      <c r="HV305" s="175"/>
      <c r="HW305" s="175"/>
      <c r="HX305" s="175"/>
      <c r="HY305" s="175"/>
      <c r="HZ305" s="175"/>
      <c r="IA305" s="175"/>
      <c r="IB305" s="175"/>
      <c r="IC305" s="175"/>
      <c r="ID305" s="175"/>
      <c r="IE305" s="175"/>
      <c r="IF305" s="175"/>
      <c r="IG305" s="175"/>
      <c r="IH305" s="175"/>
      <c r="II305" s="175"/>
      <c r="IJ305" s="175"/>
      <c r="IK305" s="175"/>
      <c r="IL305" s="175"/>
      <c r="IM305" s="175"/>
      <c r="IN305" s="175"/>
      <c r="IO305" s="175"/>
      <c r="IP305" s="175"/>
      <c r="IQ305" s="175"/>
      <c r="IR305" s="175"/>
      <c r="IS305" s="175"/>
      <c r="IT305" s="175"/>
      <c r="IU305" s="175"/>
      <c r="IV305" s="175"/>
      <c r="IW305" s="175"/>
      <c r="IX305" s="175"/>
      <c r="IY305" s="175"/>
      <c r="IZ305" s="175"/>
      <c r="JA305" s="175"/>
      <c r="JB305" s="175"/>
      <c r="JC305" s="175"/>
      <c r="JD305" s="175"/>
      <c r="JE305" s="175"/>
      <c r="JF305" s="175"/>
      <c r="JG305" s="175"/>
      <c r="JH305" s="175"/>
      <c r="JI305" s="175"/>
      <c r="JJ305" s="175"/>
      <c r="JK305" s="175"/>
      <c r="JL305" s="175"/>
      <c r="JM305" s="175"/>
      <c r="JN305" s="175"/>
      <c r="JO305" s="175"/>
      <c r="JP305" s="175"/>
      <c r="JQ305" s="175"/>
      <c r="JR305" s="175"/>
      <c r="JS305" s="175"/>
      <c r="JT305" s="175"/>
      <c r="JU305" s="175"/>
      <c r="JV305" s="175"/>
      <c r="JW305" s="175"/>
      <c r="JX305" s="175"/>
      <c r="JY305" s="175"/>
      <c r="JZ305" s="175"/>
      <c r="KA305" s="175"/>
      <c r="KB305" s="175"/>
      <c r="KC305" s="175"/>
      <c r="KD305" s="175"/>
      <c r="KE305" s="175"/>
      <c r="KF305" s="175"/>
      <c r="KG305" s="175"/>
      <c r="KH305" s="175"/>
      <c r="KI305" s="175"/>
      <c r="KJ305" s="175"/>
      <c r="KK305" s="175"/>
      <c r="KL305" s="175"/>
      <c r="KM305" s="175"/>
      <c r="KN305" s="175"/>
      <c r="KO305" s="175"/>
      <c r="KP305" s="175"/>
      <c r="KQ305" s="175"/>
      <c r="KR305" s="175"/>
      <c r="KS305" s="175"/>
      <c r="KT305" s="175"/>
      <c r="KU305" s="175"/>
    </row>
    <row r="306" spans="1:307" x14ac:dyDescent="0.2">
      <c r="A306" s="172"/>
      <c r="B306" s="172"/>
      <c r="C306" s="172"/>
      <c r="D306" s="172"/>
      <c r="E306" s="172"/>
      <c r="F306" s="172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  <c r="AP306" s="172"/>
      <c r="AQ306" s="172"/>
      <c r="AR306" s="172"/>
      <c r="AS306" s="172"/>
      <c r="AT306" s="172"/>
      <c r="AU306" s="172"/>
      <c r="AV306" s="172"/>
      <c r="AW306" s="172"/>
      <c r="AX306" s="172"/>
      <c r="AY306" s="172"/>
      <c r="AZ306" s="172"/>
      <c r="BA306" s="172"/>
      <c r="BB306" s="172"/>
      <c r="BC306" s="172"/>
      <c r="BD306" s="172"/>
      <c r="BE306" s="172"/>
      <c r="BF306" s="172"/>
      <c r="BG306" s="172"/>
      <c r="BH306" s="172"/>
      <c r="BI306" s="172"/>
      <c r="BJ306" s="172"/>
      <c r="BK306" s="172"/>
      <c r="BL306" s="172"/>
      <c r="BM306" s="172"/>
      <c r="BN306" s="172"/>
      <c r="BO306" s="172"/>
      <c r="BP306" s="172"/>
      <c r="BQ306" s="172"/>
      <c r="BR306" s="172"/>
      <c r="BS306" s="172"/>
      <c r="BT306" s="172"/>
      <c r="BU306" s="172"/>
      <c r="BV306" s="172"/>
      <c r="BW306" s="172"/>
      <c r="BX306" s="175"/>
      <c r="BY306" s="175"/>
      <c r="BZ306" s="175"/>
      <c r="CA306" s="175"/>
      <c r="CB306" s="175"/>
      <c r="CC306" s="175"/>
      <c r="CD306" s="175"/>
      <c r="CE306" s="175"/>
      <c r="CF306" s="175"/>
      <c r="CG306" s="175"/>
      <c r="CH306" s="175"/>
      <c r="CI306" s="175"/>
      <c r="CJ306" s="175"/>
      <c r="CK306" s="175"/>
      <c r="CL306" s="175"/>
      <c r="CM306" s="175"/>
      <c r="CN306" s="175"/>
      <c r="CO306" s="175"/>
      <c r="CP306" s="175"/>
      <c r="CQ306" s="175"/>
      <c r="CR306" s="175"/>
      <c r="CS306" s="175"/>
      <c r="CT306" s="175"/>
      <c r="CU306" s="175"/>
      <c r="CV306" s="175"/>
      <c r="CW306" s="175"/>
      <c r="CX306" s="175"/>
      <c r="CY306" s="175"/>
      <c r="CZ306" s="175"/>
      <c r="DA306" s="175"/>
      <c r="DB306" s="175"/>
      <c r="DC306" s="175"/>
      <c r="DD306" s="175"/>
      <c r="DE306" s="175"/>
      <c r="DF306" s="175"/>
      <c r="DG306" s="175"/>
      <c r="DH306" s="175"/>
      <c r="DI306" s="175"/>
      <c r="DJ306" s="175"/>
      <c r="DK306" s="175"/>
      <c r="DL306" s="175"/>
      <c r="DM306" s="175"/>
      <c r="DN306" s="175"/>
      <c r="DO306" s="175"/>
      <c r="DP306" s="175"/>
      <c r="DQ306" s="175"/>
      <c r="DR306" s="175"/>
      <c r="DS306" s="175"/>
      <c r="DT306" s="175"/>
      <c r="DU306" s="175"/>
      <c r="DV306" s="175"/>
      <c r="DW306" s="175"/>
      <c r="DX306" s="175"/>
      <c r="DY306" s="175"/>
      <c r="DZ306" s="175"/>
      <c r="EA306" s="175"/>
      <c r="EB306" s="175"/>
      <c r="EC306" s="175"/>
      <c r="ED306" s="175"/>
      <c r="EE306" s="175"/>
      <c r="EF306" s="175"/>
      <c r="EG306" s="175"/>
      <c r="EH306" s="175"/>
      <c r="EI306" s="175"/>
      <c r="EJ306" s="175"/>
      <c r="EK306" s="175"/>
      <c r="EL306" s="175"/>
      <c r="EM306" s="175"/>
      <c r="EN306" s="175"/>
      <c r="EO306" s="175"/>
      <c r="EP306" s="175"/>
      <c r="EQ306" s="175"/>
      <c r="ER306" s="175"/>
      <c r="ES306" s="175"/>
      <c r="ET306" s="175"/>
      <c r="EU306" s="175"/>
      <c r="EV306" s="175"/>
      <c r="EW306" s="175"/>
      <c r="EX306" s="175"/>
      <c r="EY306" s="175"/>
      <c r="EZ306" s="175"/>
      <c r="FA306" s="175"/>
      <c r="FB306" s="175"/>
      <c r="FC306" s="175"/>
      <c r="FD306" s="175"/>
      <c r="FE306" s="175"/>
      <c r="FF306" s="175"/>
      <c r="FG306" s="175"/>
      <c r="FH306" s="175"/>
      <c r="FI306" s="175"/>
      <c r="FJ306" s="175"/>
      <c r="FK306" s="175"/>
      <c r="FL306" s="175"/>
      <c r="FM306" s="175"/>
      <c r="FN306" s="175"/>
      <c r="FO306" s="175"/>
      <c r="FP306" s="175"/>
      <c r="FQ306" s="175"/>
      <c r="FR306" s="175"/>
      <c r="FS306" s="175"/>
      <c r="FT306" s="175"/>
      <c r="FU306" s="175"/>
      <c r="FV306" s="175"/>
      <c r="FW306" s="175"/>
      <c r="FX306" s="175"/>
      <c r="FY306" s="175"/>
      <c r="FZ306" s="175"/>
      <c r="GA306" s="175"/>
      <c r="GB306" s="175"/>
      <c r="GC306" s="175"/>
      <c r="GD306" s="175"/>
      <c r="GE306" s="175"/>
      <c r="GF306" s="175"/>
      <c r="GG306" s="175"/>
      <c r="GH306" s="175"/>
      <c r="GI306" s="175"/>
      <c r="GJ306" s="175"/>
      <c r="GK306" s="175"/>
      <c r="GL306" s="175"/>
      <c r="GM306" s="175"/>
      <c r="GN306" s="175"/>
      <c r="GO306" s="175"/>
      <c r="GP306" s="175"/>
      <c r="GQ306" s="175"/>
      <c r="GR306" s="175"/>
      <c r="GS306" s="175"/>
      <c r="GT306" s="175"/>
      <c r="GU306" s="175"/>
      <c r="GV306" s="175"/>
      <c r="GW306" s="175"/>
      <c r="GX306" s="175"/>
      <c r="GY306" s="175"/>
      <c r="GZ306" s="175"/>
      <c r="HA306" s="175"/>
      <c r="HB306" s="175"/>
      <c r="HC306" s="175"/>
      <c r="HD306" s="175"/>
      <c r="HE306" s="175"/>
      <c r="HF306" s="175"/>
      <c r="HG306" s="175"/>
      <c r="HH306" s="175"/>
      <c r="HI306" s="175"/>
      <c r="HJ306" s="175"/>
      <c r="HK306" s="175"/>
      <c r="HL306" s="175"/>
      <c r="HM306" s="175"/>
      <c r="HN306" s="175"/>
      <c r="HO306" s="175"/>
      <c r="HP306" s="175"/>
      <c r="HQ306" s="175"/>
      <c r="HR306" s="175"/>
      <c r="HS306" s="175"/>
      <c r="HT306" s="175"/>
      <c r="HU306" s="175"/>
      <c r="HV306" s="175"/>
      <c r="HW306" s="175"/>
      <c r="HX306" s="175"/>
      <c r="HY306" s="175"/>
      <c r="HZ306" s="175"/>
      <c r="IA306" s="175"/>
      <c r="IB306" s="175"/>
      <c r="IC306" s="175"/>
      <c r="ID306" s="175"/>
      <c r="IE306" s="175"/>
      <c r="IF306" s="175"/>
      <c r="IG306" s="175"/>
      <c r="IH306" s="175"/>
      <c r="II306" s="175"/>
      <c r="IJ306" s="175"/>
      <c r="IK306" s="175"/>
      <c r="IL306" s="175"/>
      <c r="IM306" s="175"/>
      <c r="IN306" s="175"/>
      <c r="IO306" s="175"/>
      <c r="IP306" s="175"/>
      <c r="IQ306" s="175"/>
      <c r="IR306" s="175"/>
      <c r="IS306" s="175"/>
      <c r="IT306" s="175"/>
      <c r="IU306" s="175"/>
      <c r="IV306" s="175"/>
      <c r="IW306" s="175"/>
      <c r="IX306" s="175"/>
      <c r="IY306" s="175"/>
      <c r="IZ306" s="175"/>
      <c r="JA306" s="175"/>
      <c r="JB306" s="175"/>
      <c r="JC306" s="175"/>
      <c r="JD306" s="175"/>
      <c r="JE306" s="175"/>
      <c r="JF306" s="175"/>
      <c r="JG306" s="175"/>
      <c r="JH306" s="175"/>
      <c r="JI306" s="175"/>
      <c r="JJ306" s="175"/>
      <c r="JK306" s="175"/>
      <c r="JL306" s="175"/>
      <c r="JM306" s="175"/>
      <c r="JN306" s="175"/>
      <c r="JO306" s="175"/>
      <c r="JP306" s="175"/>
      <c r="JQ306" s="175"/>
      <c r="JR306" s="175"/>
      <c r="JS306" s="175"/>
      <c r="JT306" s="175"/>
      <c r="JU306" s="175"/>
      <c r="JV306" s="175"/>
      <c r="JW306" s="175"/>
      <c r="JX306" s="175"/>
      <c r="JY306" s="175"/>
      <c r="JZ306" s="175"/>
      <c r="KA306" s="175"/>
      <c r="KB306" s="175"/>
      <c r="KC306" s="175"/>
      <c r="KD306" s="175"/>
      <c r="KE306" s="175"/>
      <c r="KF306" s="175"/>
      <c r="KG306" s="175"/>
      <c r="KH306" s="175"/>
      <c r="KI306" s="175"/>
      <c r="KJ306" s="175"/>
      <c r="KK306" s="175"/>
      <c r="KL306" s="175"/>
      <c r="KM306" s="175"/>
      <c r="KN306" s="175"/>
      <c r="KO306" s="175"/>
      <c r="KP306" s="175"/>
      <c r="KQ306" s="175"/>
      <c r="KR306" s="175"/>
      <c r="KS306" s="175"/>
      <c r="KT306" s="175"/>
      <c r="KU306" s="175"/>
    </row>
    <row r="307" spans="1:307" x14ac:dyDescent="0.2">
      <c r="A307" s="172"/>
      <c r="B307" s="172"/>
      <c r="C307" s="172"/>
      <c r="D307" s="172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  <c r="AP307" s="172"/>
      <c r="AQ307" s="172"/>
      <c r="AR307" s="172"/>
      <c r="AS307" s="172"/>
      <c r="AT307" s="172"/>
      <c r="AU307" s="172"/>
      <c r="AV307" s="172"/>
      <c r="AW307" s="172"/>
      <c r="AX307" s="172"/>
      <c r="AY307" s="172"/>
      <c r="AZ307" s="172"/>
      <c r="BA307" s="172"/>
      <c r="BB307" s="172"/>
      <c r="BC307" s="172"/>
      <c r="BD307" s="172"/>
      <c r="BE307" s="172"/>
      <c r="BF307" s="172"/>
      <c r="BG307" s="172"/>
      <c r="BH307" s="172"/>
      <c r="BI307" s="172"/>
      <c r="BJ307" s="172"/>
      <c r="BK307" s="172"/>
      <c r="BL307" s="172"/>
      <c r="BM307" s="172"/>
      <c r="BN307" s="172"/>
      <c r="BO307" s="172"/>
      <c r="BP307" s="172"/>
      <c r="BQ307" s="172"/>
      <c r="BR307" s="172"/>
      <c r="BS307" s="172"/>
      <c r="BT307" s="172"/>
      <c r="BU307" s="172"/>
      <c r="BV307" s="172"/>
      <c r="BW307" s="172"/>
      <c r="BX307" s="175"/>
      <c r="BY307" s="175"/>
      <c r="BZ307" s="175"/>
      <c r="CA307" s="175"/>
      <c r="CB307" s="175"/>
      <c r="CC307" s="175"/>
      <c r="CD307" s="175"/>
      <c r="CE307" s="175"/>
      <c r="CF307" s="175"/>
      <c r="CG307" s="175"/>
      <c r="CH307" s="175"/>
      <c r="CI307" s="175"/>
      <c r="CJ307" s="175"/>
      <c r="CK307" s="175"/>
      <c r="CL307" s="175"/>
      <c r="CM307" s="175"/>
      <c r="CN307" s="175"/>
      <c r="CO307" s="175"/>
      <c r="CP307" s="175"/>
      <c r="CQ307" s="175"/>
      <c r="CR307" s="175"/>
      <c r="CS307" s="175"/>
      <c r="CT307" s="175"/>
      <c r="CU307" s="175"/>
      <c r="CV307" s="175"/>
      <c r="CW307" s="175"/>
      <c r="CX307" s="175"/>
      <c r="CY307" s="175"/>
      <c r="CZ307" s="175"/>
      <c r="DA307" s="175"/>
      <c r="DB307" s="175"/>
      <c r="DC307" s="175"/>
      <c r="DD307" s="175"/>
      <c r="DE307" s="175"/>
      <c r="DF307" s="175"/>
      <c r="DG307" s="175"/>
      <c r="DH307" s="175"/>
      <c r="DI307" s="175"/>
      <c r="DJ307" s="175"/>
      <c r="DK307" s="175"/>
      <c r="DL307" s="175"/>
      <c r="DM307" s="175"/>
      <c r="DN307" s="175"/>
      <c r="DO307" s="175"/>
      <c r="DP307" s="175"/>
      <c r="DQ307" s="175"/>
      <c r="DR307" s="175"/>
      <c r="DS307" s="175"/>
      <c r="DT307" s="175"/>
      <c r="DU307" s="175"/>
      <c r="DV307" s="175"/>
      <c r="DW307" s="175"/>
      <c r="DX307" s="175"/>
      <c r="DY307" s="175"/>
      <c r="DZ307" s="175"/>
      <c r="EA307" s="175"/>
      <c r="EB307" s="175"/>
      <c r="EC307" s="175"/>
      <c r="ED307" s="175"/>
      <c r="EE307" s="175"/>
      <c r="EF307" s="175"/>
      <c r="EG307" s="175"/>
      <c r="EH307" s="175"/>
      <c r="EI307" s="175"/>
      <c r="EJ307" s="175"/>
      <c r="EK307" s="175"/>
      <c r="EL307" s="175"/>
      <c r="EM307" s="175"/>
      <c r="EN307" s="175"/>
      <c r="EO307" s="175"/>
      <c r="EP307" s="175"/>
      <c r="EQ307" s="175"/>
      <c r="ER307" s="175"/>
      <c r="ES307" s="175"/>
      <c r="ET307" s="175"/>
      <c r="EU307" s="175"/>
      <c r="EV307" s="175"/>
      <c r="EW307" s="175"/>
      <c r="EX307" s="175"/>
      <c r="EY307" s="175"/>
      <c r="EZ307" s="175"/>
      <c r="FA307" s="175"/>
      <c r="FB307" s="175"/>
      <c r="FC307" s="175"/>
      <c r="FD307" s="175"/>
      <c r="FE307" s="175"/>
      <c r="FF307" s="175"/>
      <c r="FG307" s="175"/>
      <c r="FH307" s="175"/>
      <c r="FI307" s="175"/>
      <c r="FJ307" s="175"/>
      <c r="FK307" s="175"/>
      <c r="FL307" s="175"/>
      <c r="FM307" s="175"/>
      <c r="FN307" s="175"/>
      <c r="FO307" s="175"/>
      <c r="FP307" s="175"/>
      <c r="FQ307" s="175"/>
      <c r="FR307" s="175"/>
      <c r="FS307" s="175"/>
      <c r="FT307" s="175"/>
      <c r="FU307" s="175"/>
      <c r="FV307" s="175"/>
      <c r="FW307" s="175"/>
      <c r="FX307" s="175"/>
      <c r="FY307" s="175"/>
      <c r="FZ307" s="175"/>
      <c r="GA307" s="175"/>
      <c r="GB307" s="175"/>
      <c r="GC307" s="175"/>
      <c r="GD307" s="175"/>
      <c r="GE307" s="175"/>
      <c r="GF307" s="175"/>
      <c r="GG307" s="175"/>
      <c r="GH307" s="175"/>
      <c r="GI307" s="175"/>
      <c r="GJ307" s="175"/>
      <c r="GK307" s="175"/>
      <c r="GL307" s="175"/>
      <c r="GM307" s="175"/>
      <c r="GN307" s="175"/>
      <c r="GO307" s="175"/>
      <c r="GP307" s="175"/>
      <c r="GQ307" s="175"/>
      <c r="GR307" s="175"/>
      <c r="GS307" s="175"/>
      <c r="GT307" s="175"/>
      <c r="GU307" s="175"/>
      <c r="GV307" s="175"/>
      <c r="GW307" s="175"/>
      <c r="GX307" s="175"/>
      <c r="GY307" s="175"/>
      <c r="GZ307" s="175"/>
      <c r="HA307" s="175"/>
      <c r="HB307" s="175"/>
      <c r="HC307" s="175"/>
      <c r="HD307" s="175"/>
      <c r="HE307" s="175"/>
      <c r="HF307" s="175"/>
      <c r="HG307" s="175"/>
      <c r="HH307" s="175"/>
      <c r="HI307" s="175"/>
      <c r="HJ307" s="175"/>
      <c r="HK307" s="175"/>
      <c r="HL307" s="175"/>
      <c r="HM307" s="175"/>
      <c r="HN307" s="175"/>
      <c r="HO307" s="175"/>
      <c r="HP307" s="175"/>
      <c r="HQ307" s="175"/>
      <c r="HR307" s="175"/>
      <c r="HS307" s="175"/>
      <c r="HT307" s="175"/>
      <c r="HU307" s="175"/>
      <c r="HV307" s="175"/>
      <c r="HW307" s="175"/>
      <c r="HX307" s="175"/>
      <c r="HY307" s="175"/>
      <c r="HZ307" s="175"/>
      <c r="IA307" s="175"/>
      <c r="IB307" s="175"/>
      <c r="IC307" s="175"/>
      <c r="ID307" s="175"/>
      <c r="IE307" s="175"/>
      <c r="IF307" s="175"/>
      <c r="IG307" s="175"/>
      <c r="IH307" s="175"/>
      <c r="II307" s="175"/>
      <c r="IJ307" s="175"/>
      <c r="IK307" s="175"/>
      <c r="IL307" s="175"/>
      <c r="IM307" s="175"/>
      <c r="IN307" s="175"/>
      <c r="IO307" s="175"/>
      <c r="IP307" s="175"/>
      <c r="IQ307" s="175"/>
      <c r="IR307" s="175"/>
      <c r="IS307" s="175"/>
      <c r="IT307" s="175"/>
      <c r="IU307" s="175"/>
      <c r="IV307" s="175"/>
      <c r="IW307" s="175"/>
      <c r="IX307" s="175"/>
      <c r="IY307" s="175"/>
      <c r="IZ307" s="175"/>
      <c r="JA307" s="175"/>
      <c r="JB307" s="175"/>
      <c r="JC307" s="175"/>
      <c r="JD307" s="175"/>
      <c r="JE307" s="175"/>
      <c r="JF307" s="175"/>
      <c r="JG307" s="175"/>
      <c r="JH307" s="175"/>
      <c r="JI307" s="175"/>
      <c r="JJ307" s="175"/>
      <c r="JK307" s="175"/>
      <c r="JL307" s="175"/>
      <c r="JM307" s="175"/>
      <c r="JN307" s="175"/>
      <c r="JO307" s="175"/>
      <c r="JP307" s="175"/>
      <c r="JQ307" s="175"/>
      <c r="JR307" s="175"/>
      <c r="JS307" s="175"/>
      <c r="JT307" s="175"/>
      <c r="JU307" s="175"/>
      <c r="JV307" s="175"/>
      <c r="JW307" s="175"/>
      <c r="JX307" s="175"/>
      <c r="JY307" s="175"/>
      <c r="JZ307" s="175"/>
      <c r="KA307" s="175"/>
      <c r="KB307" s="175"/>
      <c r="KC307" s="175"/>
      <c r="KD307" s="175"/>
      <c r="KE307" s="175"/>
      <c r="KF307" s="175"/>
      <c r="KG307" s="175"/>
      <c r="KH307" s="175"/>
      <c r="KI307" s="175"/>
      <c r="KJ307" s="175"/>
      <c r="KK307" s="175"/>
      <c r="KL307" s="175"/>
      <c r="KM307" s="175"/>
      <c r="KN307" s="175"/>
      <c r="KO307" s="175"/>
      <c r="KP307" s="175"/>
      <c r="KQ307" s="175"/>
      <c r="KR307" s="175"/>
      <c r="KS307" s="175"/>
      <c r="KT307" s="175"/>
      <c r="KU307" s="175"/>
    </row>
    <row r="308" spans="1:307" x14ac:dyDescent="0.2">
      <c r="A308" s="172"/>
      <c r="B308" s="172"/>
      <c r="C308" s="172"/>
      <c r="D308" s="172"/>
      <c r="E308" s="172"/>
      <c r="F308" s="172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2"/>
      <c r="Z308" s="172"/>
      <c r="AA308" s="172"/>
      <c r="AB308" s="172"/>
      <c r="AC308" s="172"/>
      <c r="AD308" s="172"/>
      <c r="AE308" s="172"/>
      <c r="AF308" s="172"/>
      <c r="AG308" s="172"/>
      <c r="AH308" s="172"/>
      <c r="AI308" s="172"/>
      <c r="AJ308" s="172"/>
      <c r="AK308" s="172"/>
      <c r="AL308" s="172"/>
      <c r="AM308" s="172"/>
      <c r="AN308" s="172"/>
      <c r="AO308" s="172"/>
      <c r="AP308" s="172"/>
      <c r="AQ308" s="172"/>
      <c r="AR308" s="172"/>
      <c r="AS308" s="172"/>
      <c r="AT308" s="172"/>
      <c r="AU308" s="172"/>
      <c r="AV308" s="172"/>
      <c r="AW308" s="172"/>
      <c r="AX308" s="172"/>
      <c r="AY308" s="172"/>
      <c r="AZ308" s="172"/>
      <c r="BA308" s="172"/>
      <c r="BB308" s="172"/>
      <c r="BC308" s="172"/>
      <c r="BD308" s="172"/>
      <c r="BE308" s="172"/>
      <c r="BF308" s="172"/>
      <c r="BG308" s="172"/>
      <c r="BH308" s="172"/>
      <c r="BI308" s="172"/>
      <c r="BJ308" s="172"/>
      <c r="BK308" s="172"/>
      <c r="BL308" s="172"/>
      <c r="BM308" s="172"/>
      <c r="BN308" s="172"/>
      <c r="BO308" s="172"/>
      <c r="BP308" s="172"/>
      <c r="BQ308" s="172"/>
      <c r="BR308" s="172"/>
      <c r="BS308" s="172"/>
      <c r="BT308" s="172"/>
      <c r="BU308" s="172"/>
      <c r="BV308" s="172"/>
      <c r="BW308" s="172"/>
      <c r="BX308" s="175"/>
      <c r="BY308" s="175"/>
      <c r="BZ308" s="175"/>
      <c r="CA308" s="175"/>
      <c r="CB308" s="175"/>
      <c r="CC308" s="175"/>
      <c r="CD308" s="175"/>
      <c r="CE308" s="175"/>
      <c r="CF308" s="175"/>
      <c r="CG308" s="175"/>
      <c r="CH308" s="175"/>
      <c r="CI308" s="175"/>
      <c r="CJ308" s="175"/>
      <c r="CK308" s="175"/>
      <c r="CL308" s="175"/>
      <c r="CM308" s="175"/>
      <c r="CN308" s="175"/>
      <c r="CO308" s="175"/>
      <c r="CP308" s="175"/>
      <c r="CQ308" s="175"/>
      <c r="CR308" s="175"/>
      <c r="CS308" s="175"/>
      <c r="CT308" s="175"/>
      <c r="CU308" s="175"/>
      <c r="CV308" s="175"/>
      <c r="CW308" s="175"/>
      <c r="CX308" s="175"/>
      <c r="CY308" s="175"/>
      <c r="CZ308" s="175"/>
      <c r="DA308" s="175"/>
      <c r="DB308" s="175"/>
      <c r="DC308" s="175"/>
      <c r="DD308" s="175"/>
      <c r="DE308" s="175"/>
      <c r="DF308" s="175"/>
      <c r="DG308" s="175"/>
      <c r="DH308" s="175"/>
      <c r="DI308" s="175"/>
      <c r="DJ308" s="175"/>
      <c r="DK308" s="175"/>
      <c r="DL308" s="175"/>
      <c r="DM308" s="175"/>
      <c r="DN308" s="175"/>
      <c r="DO308" s="175"/>
      <c r="DP308" s="175"/>
      <c r="DQ308" s="175"/>
      <c r="DR308" s="175"/>
      <c r="DS308" s="175"/>
      <c r="DT308" s="175"/>
      <c r="DU308" s="175"/>
      <c r="DV308" s="175"/>
      <c r="DW308" s="175"/>
      <c r="DX308" s="175"/>
      <c r="DY308" s="175"/>
      <c r="DZ308" s="175"/>
      <c r="EA308" s="175"/>
      <c r="EB308" s="175"/>
      <c r="EC308" s="175"/>
      <c r="ED308" s="175"/>
      <c r="EE308" s="175"/>
      <c r="EF308" s="175"/>
      <c r="EG308" s="175"/>
      <c r="EH308" s="175"/>
      <c r="EI308" s="175"/>
      <c r="EJ308" s="175"/>
      <c r="EK308" s="175"/>
      <c r="EL308" s="175"/>
      <c r="EM308" s="175"/>
      <c r="EN308" s="175"/>
      <c r="EO308" s="175"/>
      <c r="EP308" s="175"/>
      <c r="EQ308" s="175"/>
      <c r="ER308" s="175"/>
      <c r="ES308" s="175"/>
      <c r="ET308" s="175"/>
      <c r="EU308" s="175"/>
      <c r="EV308" s="175"/>
      <c r="EW308" s="175"/>
      <c r="EX308" s="175"/>
      <c r="EY308" s="175"/>
      <c r="EZ308" s="175"/>
      <c r="FA308" s="175"/>
      <c r="FB308" s="175"/>
      <c r="FC308" s="175"/>
      <c r="FD308" s="175"/>
      <c r="FE308" s="175"/>
      <c r="FF308" s="175"/>
      <c r="FG308" s="175"/>
      <c r="FH308" s="175"/>
      <c r="FI308" s="175"/>
      <c r="FJ308" s="175"/>
      <c r="FK308" s="175"/>
      <c r="FL308" s="175"/>
      <c r="FM308" s="175"/>
      <c r="FN308" s="175"/>
      <c r="FO308" s="175"/>
      <c r="FP308" s="175"/>
      <c r="FQ308" s="175"/>
      <c r="FR308" s="175"/>
      <c r="FS308" s="175"/>
      <c r="FT308" s="175"/>
      <c r="FU308" s="175"/>
      <c r="FV308" s="175"/>
      <c r="FW308" s="175"/>
      <c r="FX308" s="175"/>
      <c r="FY308" s="175"/>
      <c r="FZ308" s="175"/>
      <c r="GA308" s="175"/>
      <c r="GB308" s="175"/>
      <c r="GC308" s="175"/>
      <c r="GD308" s="175"/>
      <c r="GE308" s="175"/>
      <c r="GF308" s="175"/>
      <c r="GG308" s="175"/>
      <c r="GH308" s="175"/>
      <c r="GI308" s="175"/>
      <c r="GJ308" s="175"/>
      <c r="GK308" s="175"/>
      <c r="GL308" s="175"/>
      <c r="GM308" s="175"/>
      <c r="GN308" s="175"/>
      <c r="GO308" s="175"/>
      <c r="GP308" s="175"/>
      <c r="GQ308" s="175"/>
      <c r="GR308" s="175"/>
      <c r="GS308" s="175"/>
      <c r="GT308" s="175"/>
      <c r="GU308" s="175"/>
      <c r="GV308" s="175"/>
      <c r="GW308" s="175"/>
      <c r="GX308" s="175"/>
      <c r="GY308" s="175"/>
      <c r="GZ308" s="175"/>
      <c r="HA308" s="175"/>
      <c r="HB308" s="175"/>
      <c r="HC308" s="175"/>
      <c r="HD308" s="175"/>
      <c r="HE308" s="175"/>
      <c r="HF308" s="175"/>
      <c r="HG308" s="175"/>
      <c r="HH308" s="175"/>
      <c r="HI308" s="175"/>
      <c r="HJ308" s="175"/>
      <c r="HK308" s="175"/>
      <c r="HL308" s="175"/>
      <c r="HM308" s="175"/>
      <c r="HN308" s="175"/>
      <c r="HO308" s="175"/>
      <c r="HP308" s="175"/>
      <c r="HQ308" s="175"/>
      <c r="HR308" s="175"/>
      <c r="HS308" s="175"/>
      <c r="HT308" s="175"/>
      <c r="HU308" s="175"/>
      <c r="HV308" s="175"/>
      <c r="HW308" s="175"/>
      <c r="HX308" s="175"/>
      <c r="HY308" s="175"/>
      <c r="HZ308" s="175"/>
      <c r="IA308" s="175"/>
      <c r="IB308" s="175"/>
      <c r="IC308" s="175"/>
      <c r="ID308" s="175"/>
      <c r="IE308" s="175"/>
      <c r="IF308" s="175"/>
      <c r="IG308" s="175"/>
      <c r="IH308" s="175"/>
      <c r="II308" s="175"/>
      <c r="IJ308" s="175"/>
      <c r="IK308" s="175"/>
      <c r="IL308" s="175"/>
      <c r="IM308" s="175"/>
      <c r="IN308" s="175"/>
      <c r="IO308" s="175"/>
      <c r="IP308" s="175"/>
      <c r="IQ308" s="175"/>
      <c r="IR308" s="175"/>
      <c r="IS308" s="175"/>
      <c r="IT308" s="175"/>
      <c r="IU308" s="175"/>
      <c r="IV308" s="175"/>
      <c r="IW308" s="175"/>
      <c r="IX308" s="175"/>
      <c r="IY308" s="175"/>
      <c r="IZ308" s="175"/>
      <c r="JA308" s="175"/>
      <c r="JB308" s="175"/>
      <c r="JC308" s="175"/>
      <c r="JD308" s="175"/>
      <c r="JE308" s="175"/>
      <c r="JF308" s="175"/>
      <c r="JG308" s="175"/>
      <c r="JH308" s="175"/>
      <c r="JI308" s="175"/>
      <c r="JJ308" s="175"/>
      <c r="JK308" s="175"/>
      <c r="JL308" s="175"/>
      <c r="JM308" s="175"/>
      <c r="JN308" s="175"/>
      <c r="JO308" s="175"/>
      <c r="JP308" s="175"/>
      <c r="JQ308" s="175"/>
      <c r="JR308" s="175"/>
      <c r="JS308" s="175"/>
      <c r="JT308" s="175"/>
      <c r="JU308" s="175"/>
      <c r="JV308" s="175"/>
      <c r="JW308" s="175"/>
      <c r="JX308" s="175"/>
      <c r="JY308" s="175"/>
      <c r="JZ308" s="175"/>
      <c r="KA308" s="175"/>
      <c r="KB308" s="175"/>
      <c r="KC308" s="175"/>
      <c r="KD308" s="175"/>
      <c r="KE308" s="175"/>
      <c r="KF308" s="175"/>
      <c r="KG308" s="175"/>
      <c r="KH308" s="175"/>
      <c r="KI308" s="175"/>
      <c r="KJ308" s="175"/>
      <c r="KK308" s="175"/>
      <c r="KL308" s="175"/>
      <c r="KM308" s="175"/>
      <c r="KN308" s="175"/>
      <c r="KO308" s="175"/>
      <c r="KP308" s="175"/>
      <c r="KQ308" s="175"/>
      <c r="KR308" s="175"/>
      <c r="KS308" s="175"/>
      <c r="KT308" s="175"/>
      <c r="KU308" s="175"/>
    </row>
    <row r="309" spans="1:307" x14ac:dyDescent="0.2">
      <c r="A309" s="172"/>
      <c r="B309" s="172"/>
      <c r="C309" s="172"/>
      <c r="D309" s="172"/>
      <c r="E309" s="172"/>
      <c r="F309" s="172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  <c r="BD309" s="172"/>
      <c r="BE309" s="172"/>
      <c r="BF309" s="172"/>
      <c r="BG309" s="172"/>
      <c r="BH309" s="172"/>
      <c r="BI309" s="172"/>
      <c r="BJ309" s="172"/>
      <c r="BK309" s="172"/>
      <c r="BL309" s="172"/>
      <c r="BM309" s="172"/>
      <c r="BN309" s="172"/>
      <c r="BO309" s="172"/>
      <c r="BP309" s="172"/>
      <c r="BQ309" s="172"/>
      <c r="BR309" s="172"/>
      <c r="BS309" s="172"/>
      <c r="BT309" s="172"/>
      <c r="BU309" s="172"/>
      <c r="BV309" s="172"/>
      <c r="BW309" s="172"/>
      <c r="BX309" s="175"/>
      <c r="BY309" s="175"/>
      <c r="BZ309" s="175"/>
      <c r="CA309" s="175"/>
      <c r="CB309" s="175"/>
      <c r="CC309" s="175"/>
      <c r="CD309" s="175"/>
      <c r="CE309" s="175"/>
      <c r="CF309" s="175"/>
      <c r="CG309" s="175"/>
      <c r="CH309" s="175"/>
      <c r="CI309" s="175"/>
      <c r="CJ309" s="175"/>
      <c r="CK309" s="175"/>
      <c r="CL309" s="175"/>
      <c r="CM309" s="175"/>
      <c r="CN309" s="175"/>
      <c r="CO309" s="175"/>
      <c r="CP309" s="175"/>
      <c r="CQ309" s="175"/>
      <c r="CR309" s="175"/>
      <c r="CS309" s="175"/>
      <c r="CT309" s="175"/>
      <c r="CU309" s="175"/>
      <c r="CV309" s="175"/>
      <c r="CW309" s="175"/>
      <c r="CX309" s="175"/>
      <c r="CY309" s="175"/>
      <c r="CZ309" s="175"/>
      <c r="DA309" s="175"/>
      <c r="DB309" s="175"/>
      <c r="DC309" s="175"/>
      <c r="DD309" s="175"/>
      <c r="DE309" s="175"/>
      <c r="DF309" s="175"/>
      <c r="DG309" s="175"/>
      <c r="DH309" s="175"/>
      <c r="DI309" s="175"/>
      <c r="DJ309" s="175"/>
      <c r="DK309" s="175"/>
      <c r="DL309" s="175"/>
      <c r="DM309" s="175"/>
      <c r="DN309" s="175"/>
      <c r="DO309" s="175"/>
      <c r="DP309" s="175"/>
      <c r="DQ309" s="175"/>
      <c r="DR309" s="175"/>
      <c r="DS309" s="175"/>
      <c r="DT309" s="175"/>
      <c r="DU309" s="175"/>
      <c r="DV309" s="175"/>
      <c r="DW309" s="175"/>
      <c r="DX309" s="175"/>
      <c r="DY309" s="175"/>
      <c r="DZ309" s="175"/>
      <c r="EA309" s="175"/>
      <c r="EB309" s="175"/>
      <c r="EC309" s="175"/>
      <c r="ED309" s="175"/>
      <c r="EE309" s="175"/>
      <c r="EF309" s="175"/>
      <c r="EG309" s="175"/>
      <c r="EH309" s="175"/>
      <c r="EI309" s="175"/>
      <c r="EJ309" s="175"/>
      <c r="EK309" s="175"/>
      <c r="EL309" s="175"/>
      <c r="EM309" s="175"/>
      <c r="EN309" s="175"/>
      <c r="EO309" s="175"/>
      <c r="EP309" s="175"/>
      <c r="EQ309" s="175"/>
      <c r="ER309" s="175"/>
      <c r="ES309" s="175"/>
      <c r="ET309" s="175"/>
      <c r="EU309" s="175"/>
      <c r="EV309" s="175"/>
      <c r="EW309" s="175"/>
      <c r="EX309" s="175"/>
      <c r="EY309" s="175"/>
      <c r="EZ309" s="175"/>
      <c r="FA309" s="175"/>
      <c r="FB309" s="175"/>
      <c r="FC309" s="175"/>
      <c r="FD309" s="175"/>
      <c r="FE309" s="175"/>
      <c r="FF309" s="175"/>
      <c r="FG309" s="175"/>
      <c r="FH309" s="175"/>
      <c r="FI309" s="175"/>
      <c r="FJ309" s="175"/>
      <c r="FK309" s="175"/>
      <c r="FL309" s="175"/>
      <c r="FM309" s="175"/>
      <c r="FN309" s="175"/>
      <c r="FO309" s="175"/>
      <c r="FP309" s="175"/>
      <c r="FQ309" s="175"/>
      <c r="FR309" s="175"/>
      <c r="FS309" s="175"/>
      <c r="FT309" s="175"/>
      <c r="FU309" s="175"/>
      <c r="FV309" s="175"/>
      <c r="FW309" s="175"/>
      <c r="FX309" s="175"/>
      <c r="FY309" s="175"/>
      <c r="FZ309" s="175"/>
      <c r="GA309" s="175"/>
      <c r="GB309" s="175"/>
      <c r="GC309" s="175"/>
      <c r="GD309" s="175"/>
      <c r="GE309" s="175"/>
      <c r="GF309" s="175"/>
      <c r="GG309" s="175"/>
      <c r="GH309" s="175"/>
      <c r="GI309" s="175"/>
      <c r="GJ309" s="175"/>
      <c r="GK309" s="175"/>
      <c r="GL309" s="175"/>
      <c r="GM309" s="175"/>
      <c r="GN309" s="175"/>
      <c r="GO309" s="175"/>
      <c r="GP309" s="175"/>
      <c r="GQ309" s="175"/>
      <c r="GR309" s="175"/>
      <c r="GS309" s="175"/>
      <c r="GT309" s="175"/>
      <c r="GU309" s="175"/>
      <c r="GV309" s="175"/>
      <c r="GW309" s="175"/>
      <c r="GX309" s="175"/>
      <c r="GY309" s="175"/>
      <c r="GZ309" s="175"/>
      <c r="HA309" s="175"/>
      <c r="HB309" s="175"/>
      <c r="HC309" s="175"/>
      <c r="HD309" s="175"/>
      <c r="HE309" s="175"/>
      <c r="HF309" s="175"/>
      <c r="HG309" s="175"/>
      <c r="HH309" s="175"/>
      <c r="HI309" s="175"/>
      <c r="HJ309" s="175"/>
      <c r="HK309" s="175"/>
      <c r="HL309" s="175"/>
      <c r="HM309" s="175"/>
      <c r="HN309" s="175"/>
      <c r="HO309" s="175"/>
      <c r="HP309" s="175"/>
      <c r="HQ309" s="175"/>
      <c r="HR309" s="175"/>
      <c r="HS309" s="175"/>
      <c r="HT309" s="175"/>
      <c r="HU309" s="175"/>
      <c r="HV309" s="175"/>
      <c r="HW309" s="175"/>
      <c r="HX309" s="175"/>
      <c r="HY309" s="175"/>
      <c r="HZ309" s="175"/>
      <c r="IA309" s="175"/>
      <c r="IB309" s="175"/>
      <c r="IC309" s="175"/>
      <c r="ID309" s="175"/>
      <c r="IE309" s="175"/>
      <c r="IF309" s="175"/>
      <c r="IG309" s="175"/>
      <c r="IH309" s="175"/>
      <c r="II309" s="175"/>
      <c r="IJ309" s="175"/>
      <c r="IK309" s="175"/>
      <c r="IL309" s="175"/>
      <c r="IM309" s="175"/>
      <c r="IN309" s="175"/>
      <c r="IO309" s="175"/>
      <c r="IP309" s="175"/>
      <c r="IQ309" s="175"/>
      <c r="IR309" s="175"/>
      <c r="IS309" s="175"/>
      <c r="IT309" s="175"/>
      <c r="IU309" s="175"/>
      <c r="IV309" s="175"/>
      <c r="IW309" s="175"/>
      <c r="IX309" s="175"/>
      <c r="IY309" s="175"/>
      <c r="IZ309" s="175"/>
      <c r="JA309" s="175"/>
      <c r="JB309" s="175"/>
      <c r="JC309" s="175"/>
      <c r="JD309" s="175"/>
      <c r="JE309" s="175"/>
      <c r="JF309" s="175"/>
      <c r="JG309" s="175"/>
      <c r="JH309" s="175"/>
      <c r="JI309" s="175"/>
      <c r="JJ309" s="175"/>
      <c r="JK309" s="175"/>
      <c r="JL309" s="175"/>
      <c r="JM309" s="175"/>
      <c r="JN309" s="175"/>
      <c r="JO309" s="175"/>
      <c r="JP309" s="175"/>
      <c r="JQ309" s="175"/>
      <c r="JR309" s="175"/>
      <c r="JS309" s="175"/>
      <c r="JT309" s="175"/>
      <c r="JU309" s="175"/>
      <c r="JV309" s="175"/>
      <c r="JW309" s="175"/>
      <c r="JX309" s="175"/>
      <c r="JY309" s="175"/>
      <c r="JZ309" s="175"/>
      <c r="KA309" s="175"/>
      <c r="KB309" s="175"/>
      <c r="KC309" s="175"/>
      <c r="KD309" s="175"/>
      <c r="KE309" s="175"/>
      <c r="KF309" s="175"/>
      <c r="KG309" s="175"/>
      <c r="KH309" s="175"/>
      <c r="KI309" s="175"/>
      <c r="KJ309" s="175"/>
      <c r="KK309" s="175"/>
      <c r="KL309" s="175"/>
      <c r="KM309" s="175"/>
      <c r="KN309" s="175"/>
      <c r="KO309" s="175"/>
      <c r="KP309" s="175"/>
      <c r="KQ309" s="175"/>
      <c r="KR309" s="175"/>
      <c r="KS309" s="175"/>
      <c r="KT309" s="175"/>
      <c r="KU309" s="175"/>
    </row>
    <row r="310" spans="1:307" x14ac:dyDescent="0.2">
      <c r="A310" s="172"/>
      <c r="B310" s="172"/>
      <c r="C310" s="172"/>
      <c r="D310" s="172"/>
      <c r="E310" s="172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  <c r="BD310" s="172"/>
      <c r="BE310" s="172"/>
      <c r="BF310" s="172"/>
      <c r="BG310" s="172"/>
      <c r="BH310" s="172"/>
      <c r="BI310" s="172"/>
      <c r="BJ310" s="172"/>
      <c r="BK310" s="172"/>
      <c r="BL310" s="172"/>
      <c r="BM310" s="172"/>
      <c r="BN310" s="172"/>
      <c r="BO310" s="172"/>
      <c r="BP310" s="172"/>
      <c r="BQ310" s="172"/>
      <c r="BR310" s="172"/>
      <c r="BS310" s="172"/>
      <c r="BT310" s="172"/>
      <c r="BU310" s="172"/>
      <c r="BV310" s="172"/>
      <c r="BW310" s="172"/>
      <c r="BX310" s="175"/>
      <c r="BY310" s="175"/>
      <c r="BZ310" s="175"/>
      <c r="CA310" s="175"/>
      <c r="CB310" s="175"/>
      <c r="CC310" s="175"/>
      <c r="CD310" s="175"/>
      <c r="CE310" s="175"/>
      <c r="CF310" s="175"/>
      <c r="CG310" s="175"/>
      <c r="CH310" s="175"/>
      <c r="CI310" s="175"/>
      <c r="CJ310" s="175"/>
      <c r="CK310" s="175"/>
      <c r="CL310" s="175"/>
      <c r="CM310" s="175"/>
      <c r="CN310" s="175"/>
      <c r="CO310" s="175"/>
      <c r="CP310" s="175"/>
      <c r="CQ310" s="175"/>
      <c r="CR310" s="175"/>
      <c r="CS310" s="175"/>
      <c r="CT310" s="175"/>
      <c r="CU310" s="175"/>
      <c r="CV310" s="175"/>
      <c r="CW310" s="175"/>
      <c r="CX310" s="175"/>
      <c r="CY310" s="175"/>
      <c r="CZ310" s="175"/>
      <c r="DA310" s="175"/>
      <c r="DB310" s="175"/>
      <c r="DC310" s="175"/>
      <c r="DD310" s="175"/>
      <c r="DE310" s="175"/>
      <c r="DF310" s="175"/>
      <c r="DG310" s="175"/>
      <c r="DH310" s="175"/>
      <c r="DI310" s="175"/>
      <c r="DJ310" s="175"/>
      <c r="DK310" s="175"/>
      <c r="DL310" s="175"/>
      <c r="DM310" s="175"/>
      <c r="DN310" s="175"/>
      <c r="DO310" s="175"/>
      <c r="DP310" s="175"/>
      <c r="DQ310" s="175"/>
      <c r="DR310" s="175"/>
      <c r="DS310" s="175"/>
      <c r="DT310" s="175"/>
      <c r="DU310" s="175"/>
      <c r="DV310" s="175"/>
      <c r="DW310" s="175"/>
      <c r="DX310" s="175"/>
      <c r="DY310" s="175"/>
      <c r="DZ310" s="175"/>
      <c r="EA310" s="175"/>
      <c r="EB310" s="175"/>
      <c r="EC310" s="175"/>
      <c r="ED310" s="175"/>
      <c r="EE310" s="175"/>
      <c r="EF310" s="175"/>
      <c r="EG310" s="175"/>
      <c r="EH310" s="175"/>
      <c r="EI310" s="175"/>
      <c r="EJ310" s="175"/>
      <c r="EK310" s="175"/>
      <c r="EL310" s="175"/>
      <c r="EM310" s="175"/>
      <c r="EN310" s="175"/>
      <c r="EO310" s="175"/>
      <c r="EP310" s="175"/>
      <c r="EQ310" s="175"/>
      <c r="ER310" s="175"/>
      <c r="ES310" s="175"/>
      <c r="ET310" s="175"/>
      <c r="EU310" s="175"/>
      <c r="EV310" s="175"/>
      <c r="EW310" s="175"/>
      <c r="EX310" s="175"/>
      <c r="EY310" s="175"/>
      <c r="EZ310" s="175"/>
      <c r="FA310" s="175"/>
      <c r="FB310" s="175"/>
      <c r="FC310" s="175"/>
      <c r="FD310" s="175"/>
      <c r="FE310" s="175"/>
      <c r="FF310" s="175"/>
      <c r="FG310" s="175"/>
      <c r="FH310" s="175"/>
      <c r="FI310" s="175"/>
      <c r="FJ310" s="175"/>
      <c r="FK310" s="175"/>
      <c r="FL310" s="175"/>
      <c r="FM310" s="175"/>
      <c r="FN310" s="175"/>
      <c r="FO310" s="175"/>
      <c r="FP310" s="175"/>
      <c r="FQ310" s="175"/>
      <c r="FR310" s="175"/>
      <c r="FS310" s="175"/>
      <c r="FT310" s="175"/>
      <c r="FU310" s="175"/>
      <c r="FV310" s="175"/>
      <c r="FW310" s="175"/>
      <c r="FX310" s="175"/>
      <c r="FY310" s="175"/>
      <c r="FZ310" s="175"/>
      <c r="GA310" s="175"/>
      <c r="GB310" s="175"/>
      <c r="GC310" s="175"/>
      <c r="GD310" s="175"/>
      <c r="GE310" s="175"/>
      <c r="GF310" s="175"/>
      <c r="GG310" s="175"/>
      <c r="GH310" s="175"/>
      <c r="GI310" s="175"/>
      <c r="GJ310" s="175"/>
      <c r="GK310" s="175"/>
      <c r="GL310" s="175"/>
      <c r="GM310" s="175"/>
      <c r="GN310" s="175"/>
      <c r="GO310" s="175"/>
      <c r="GP310" s="175"/>
      <c r="GQ310" s="175"/>
      <c r="GR310" s="175"/>
      <c r="GS310" s="175"/>
      <c r="GT310" s="175"/>
      <c r="GU310" s="175"/>
      <c r="GV310" s="175"/>
      <c r="GW310" s="175"/>
      <c r="GX310" s="175"/>
      <c r="GY310" s="175"/>
      <c r="GZ310" s="175"/>
      <c r="HA310" s="175"/>
      <c r="HB310" s="175"/>
      <c r="HC310" s="175"/>
      <c r="HD310" s="175"/>
      <c r="HE310" s="175"/>
      <c r="HF310" s="175"/>
      <c r="HG310" s="175"/>
      <c r="HH310" s="175"/>
      <c r="HI310" s="175"/>
      <c r="HJ310" s="175"/>
      <c r="HK310" s="175"/>
      <c r="HL310" s="175"/>
      <c r="HM310" s="175"/>
      <c r="HN310" s="175"/>
      <c r="HO310" s="175"/>
      <c r="HP310" s="175"/>
      <c r="HQ310" s="175"/>
      <c r="HR310" s="175"/>
      <c r="HS310" s="175"/>
      <c r="HT310" s="175"/>
      <c r="HU310" s="175"/>
      <c r="HV310" s="175"/>
      <c r="HW310" s="175"/>
      <c r="HX310" s="175"/>
      <c r="HY310" s="175"/>
      <c r="HZ310" s="175"/>
      <c r="IA310" s="175"/>
      <c r="IB310" s="175"/>
      <c r="IC310" s="175"/>
      <c r="ID310" s="175"/>
      <c r="IE310" s="175"/>
      <c r="IF310" s="175"/>
      <c r="IG310" s="175"/>
      <c r="IH310" s="175"/>
      <c r="II310" s="175"/>
      <c r="IJ310" s="175"/>
      <c r="IK310" s="175"/>
      <c r="IL310" s="175"/>
      <c r="IM310" s="175"/>
      <c r="IN310" s="175"/>
      <c r="IO310" s="175"/>
      <c r="IP310" s="175"/>
      <c r="IQ310" s="175"/>
      <c r="IR310" s="175"/>
      <c r="IS310" s="175"/>
      <c r="IT310" s="175"/>
      <c r="IU310" s="175"/>
      <c r="IV310" s="175"/>
      <c r="IW310" s="175"/>
      <c r="IX310" s="175"/>
      <c r="IY310" s="175"/>
      <c r="IZ310" s="175"/>
      <c r="JA310" s="175"/>
      <c r="JB310" s="175"/>
      <c r="JC310" s="175"/>
      <c r="JD310" s="175"/>
      <c r="JE310" s="175"/>
      <c r="JF310" s="175"/>
      <c r="JG310" s="175"/>
      <c r="JH310" s="175"/>
      <c r="JI310" s="175"/>
      <c r="JJ310" s="175"/>
      <c r="JK310" s="175"/>
      <c r="JL310" s="175"/>
      <c r="JM310" s="175"/>
      <c r="JN310" s="175"/>
      <c r="JO310" s="175"/>
      <c r="JP310" s="175"/>
      <c r="JQ310" s="175"/>
      <c r="JR310" s="175"/>
      <c r="JS310" s="175"/>
      <c r="JT310" s="175"/>
      <c r="JU310" s="175"/>
      <c r="JV310" s="175"/>
      <c r="JW310" s="175"/>
      <c r="JX310" s="175"/>
      <c r="JY310" s="175"/>
      <c r="JZ310" s="175"/>
      <c r="KA310" s="175"/>
      <c r="KB310" s="175"/>
      <c r="KC310" s="175"/>
      <c r="KD310" s="175"/>
      <c r="KE310" s="175"/>
      <c r="KF310" s="175"/>
      <c r="KG310" s="175"/>
      <c r="KH310" s="175"/>
      <c r="KI310" s="175"/>
      <c r="KJ310" s="175"/>
      <c r="KK310" s="175"/>
      <c r="KL310" s="175"/>
      <c r="KM310" s="175"/>
      <c r="KN310" s="175"/>
      <c r="KO310" s="175"/>
      <c r="KP310" s="175"/>
      <c r="KQ310" s="175"/>
      <c r="KR310" s="175"/>
      <c r="KS310" s="175"/>
      <c r="KT310" s="175"/>
      <c r="KU310" s="175"/>
    </row>
    <row r="311" spans="1:307" x14ac:dyDescent="0.2">
      <c r="A311" s="172"/>
      <c r="B311" s="172"/>
      <c r="C311" s="172"/>
      <c r="D311" s="172"/>
      <c r="E311" s="172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  <c r="AA311" s="172"/>
      <c r="AB311" s="172"/>
      <c r="AC311" s="172"/>
      <c r="AD311" s="172"/>
      <c r="AE311" s="172"/>
      <c r="AF311" s="172"/>
      <c r="AG311" s="172"/>
      <c r="AH311" s="172"/>
      <c r="AI311" s="172"/>
      <c r="AJ311" s="172"/>
      <c r="AK311" s="172"/>
      <c r="AL311" s="172"/>
      <c r="AM311" s="172"/>
      <c r="AN311" s="172"/>
      <c r="AO311" s="172"/>
      <c r="AP311" s="172"/>
      <c r="AQ311" s="172"/>
      <c r="AR311" s="172"/>
      <c r="AS311" s="172"/>
      <c r="AT311" s="172"/>
      <c r="AU311" s="172"/>
      <c r="AV311" s="172"/>
      <c r="AW311" s="172"/>
      <c r="AX311" s="172"/>
      <c r="AY311" s="172"/>
      <c r="AZ311" s="172"/>
      <c r="BA311" s="172"/>
      <c r="BB311" s="172"/>
      <c r="BC311" s="172"/>
      <c r="BD311" s="172"/>
      <c r="BE311" s="172"/>
      <c r="BF311" s="172"/>
      <c r="BG311" s="172"/>
      <c r="BH311" s="172"/>
      <c r="BI311" s="172"/>
      <c r="BJ311" s="172"/>
      <c r="BK311" s="172"/>
      <c r="BL311" s="172"/>
      <c r="BM311" s="172"/>
      <c r="BN311" s="172"/>
      <c r="BO311" s="172"/>
      <c r="BP311" s="172"/>
      <c r="BQ311" s="172"/>
      <c r="BR311" s="172"/>
      <c r="BS311" s="172"/>
      <c r="BT311" s="172"/>
      <c r="BU311" s="172"/>
      <c r="BV311" s="172"/>
      <c r="BW311" s="172"/>
      <c r="BX311" s="175"/>
      <c r="BY311" s="175"/>
      <c r="BZ311" s="175"/>
      <c r="CA311" s="175"/>
      <c r="CB311" s="175"/>
      <c r="CC311" s="175"/>
      <c r="CD311" s="175"/>
      <c r="CE311" s="175"/>
      <c r="CF311" s="175"/>
      <c r="CG311" s="175"/>
      <c r="CH311" s="175"/>
      <c r="CI311" s="175"/>
      <c r="CJ311" s="175"/>
      <c r="CK311" s="175"/>
      <c r="CL311" s="175"/>
      <c r="CM311" s="175"/>
      <c r="CN311" s="175"/>
      <c r="CO311" s="175"/>
      <c r="CP311" s="175"/>
      <c r="CQ311" s="175"/>
      <c r="CR311" s="175"/>
      <c r="CS311" s="175"/>
      <c r="CT311" s="175"/>
      <c r="CU311" s="175"/>
      <c r="CV311" s="175"/>
      <c r="CW311" s="175"/>
      <c r="CX311" s="175"/>
      <c r="CY311" s="175"/>
      <c r="CZ311" s="175"/>
      <c r="DA311" s="175"/>
      <c r="DB311" s="175"/>
      <c r="DC311" s="175"/>
      <c r="DD311" s="175"/>
      <c r="DE311" s="175"/>
      <c r="DF311" s="175"/>
      <c r="DG311" s="175"/>
      <c r="DH311" s="175"/>
      <c r="DI311" s="175"/>
      <c r="DJ311" s="175"/>
      <c r="DK311" s="175"/>
      <c r="DL311" s="175"/>
      <c r="DM311" s="175"/>
      <c r="DN311" s="175"/>
      <c r="DO311" s="175"/>
      <c r="DP311" s="175"/>
      <c r="DQ311" s="175"/>
      <c r="DR311" s="175"/>
      <c r="DS311" s="175"/>
      <c r="DT311" s="175"/>
      <c r="DU311" s="175"/>
      <c r="DV311" s="175"/>
      <c r="DW311" s="175"/>
      <c r="DX311" s="175"/>
      <c r="DY311" s="175"/>
      <c r="DZ311" s="175"/>
      <c r="EA311" s="175"/>
      <c r="EB311" s="175"/>
      <c r="EC311" s="175"/>
      <c r="ED311" s="175"/>
      <c r="EE311" s="175"/>
      <c r="EF311" s="175"/>
      <c r="EG311" s="175"/>
      <c r="EH311" s="175"/>
      <c r="EI311" s="175"/>
      <c r="EJ311" s="175"/>
      <c r="EK311" s="175"/>
      <c r="EL311" s="175"/>
      <c r="EM311" s="175"/>
      <c r="EN311" s="175"/>
      <c r="EO311" s="175"/>
      <c r="EP311" s="175"/>
      <c r="EQ311" s="175"/>
      <c r="ER311" s="175"/>
      <c r="ES311" s="175"/>
      <c r="ET311" s="175"/>
      <c r="EU311" s="175"/>
      <c r="EV311" s="175"/>
      <c r="EW311" s="175"/>
      <c r="EX311" s="175"/>
      <c r="EY311" s="175"/>
      <c r="EZ311" s="175"/>
      <c r="FA311" s="175"/>
      <c r="FB311" s="175"/>
      <c r="FC311" s="175"/>
      <c r="FD311" s="175"/>
      <c r="FE311" s="175"/>
      <c r="FF311" s="175"/>
      <c r="FG311" s="175"/>
      <c r="FH311" s="175"/>
      <c r="FI311" s="175"/>
      <c r="FJ311" s="175"/>
      <c r="FK311" s="175"/>
      <c r="FL311" s="175"/>
      <c r="FM311" s="175"/>
      <c r="FN311" s="175"/>
      <c r="FO311" s="175"/>
      <c r="FP311" s="175"/>
      <c r="FQ311" s="175"/>
      <c r="FR311" s="175"/>
      <c r="FS311" s="175"/>
      <c r="FT311" s="175"/>
      <c r="FU311" s="175"/>
      <c r="FV311" s="175"/>
      <c r="FW311" s="175"/>
      <c r="FX311" s="175"/>
      <c r="FY311" s="175"/>
      <c r="FZ311" s="175"/>
      <c r="GA311" s="175"/>
      <c r="GB311" s="175"/>
      <c r="GC311" s="175"/>
      <c r="GD311" s="175"/>
      <c r="GE311" s="175"/>
      <c r="GF311" s="175"/>
      <c r="GG311" s="175"/>
      <c r="GH311" s="175"/>
      <c r="GI311" s="175"/>
      <c r="GJ311" s="175"/>
      <c r="GK311" s="175"/>
      <c r="GL311" s="175"/>
      <c r="GM311" s="175"/>
      <c r="GN311" s="175"/>
      <c r="GO311" s="175"/>
      <c r="GP311" s="175"/>
      <c r="GQ311" s="175"/>
      <c r="GR311" s="175"/>
      <c r="GS311" s="175"/>
      <c r="GT311" s="175"/>
      <c r="GU311" s="175"/>
      <c r="GV311" s="175"/>
      <c r="GW311" s="175"/>
      <c r="GX311" s="175"/>
      <c r="GY311" s="175"/>
      <c r="GZ311" s="175"/>
      <c r="HA311" s="175"/>
      <c r="HB311" s="175"/>
      <c r="HC311" s="175"/>
      <c r="HD311" s="175"/>
      <c r="HE311" s="175"/>
      <c r="HF311" s="175"/>
      <c r="HG311" s="175"/>
      <c r="HH311" s="175"/>
      <c r="HI311" s="175"/>
      <c r="HJ311" s="175"/>
      <c r="HK311" s="175"/>
      <c r="HL311" s="175"/>
      <c r="HM311" s="175"/>
      <c r="HN311" s="175"/>
      <c r="HO311" s="175"/>
      <c r="HP311" s="175"/>
      <c r="HQ311" s="175"/>
      <c r="HR311" s="175"/>
      <c r="HS311" s="175"/>
      <c r="HT311" s="175"/>
      <c r="HU311" s="175"/>
      <c r="HV311" s="175"/>
      <c r="HW311" s="175"/>
      <c r="HX311" s="175"/>
      <c r="HY311" s="175"/>
      <c r="HZ311" s="175"/>
      <c r="IA311" s="175"/>
      <c r="IB311" s="175"/>
      <c r="IC311" s="175"/>
      <c r="ID311" s="175"/>
      <c r="IE311" s="175"/>
      <c r="IF311" s="175"/>
      <c r="IG311" s="175"/>
      <c r="IH311" s="175"/>
      <c r="II311" s="175"/>
      <c r="IJ311" s="175"/>
      <c r="IK311" s="175"/>
      <c r="IL311" s="175"/>
      <c r="IM311" s="175"/>
      <c r="IN311" s="175"/>
      <c r="IO311" s="175"/>
      <c r="IP311" s="175"/>
      <c r="IQ311" s="175"/>
      <c r="IR311" s="175"/>
      <c r="IS311" s="175"/>
      <c r="IT311" s="175"/>
      <c r="IU311" s="175"/>
      <c r="IV311" s="175"/>
      <c r="IW311" s="175"/>
      <c r="IX311" s="175"/>
      <c r="IY311" s="175"/>
      <c r="IZ311" s="175"/>
      <c r="JA311" s="175"/>
      <c r="JB311" s="175"/>
      <c r="JC311" s="175"/>
      <c r="JD311" s="175"/>
      <c r="JE311" s="175"/>
      <c r="JF311" s="175"/>
      <c r="JG311" s="175"/>
      <c r="JH311" s="175"/>
      <c r="JI311" s="175"/>
      <c r="JJ311" s="175"/>
      <c r="JK311" s="175"/>
      <c r="JL311" s="175"/>
      <c r="JM311" s="175"/>
      <c r="JN311" s="175"/>
      <c r="JO311" s="175"/>
      <c r="JP311" s="175"/>
      <c r="JQ311" s="175"/>
      <c r="JR311" s="175"/>
      <c r="JS311" s="175"/>
      <c r="JT311" s="175"/>
      <c r="JU311" s="175"/>
      <c r="JV311" s="175"/>
      <c r="JW311" s="175"/>
      <c r="JX311" s="175"/>
      <c r="JY311" s="175"/>
      <c r="JZ311" s="175"/>
      <c r="KA311" s="175"/>
      <c r="KB311" s="175"/>
      <c r="KC311" s="175"/>
      <c r="KD311" s="175"/>
      <c r="KE311" s="175"/>
      <c r="KF311" s="175"/>
      <c r="KG311" s="175"/>
      <c r="KH311" s="175"/>
      <c r="KI311" s="175"/>
      <c r="KJ311" s="175"/>
      <c r="KK311" s="175"/>
      <c r="KL311" s="175"/>
      <c r="KM311" s="175"/>
      <c r="KN311" s="175"/>
      <c r="KO311" s="175"/>
      <c r="KP311" s="175"/>
      <c r="KQ311" s="175"/>
      <c r="KR311" s="175"/>
      <c r="KS311" s="175"/>
      <c r="KT311" s="175"/>
      <c r="KU311" s="175"/>
    </row>
    <row r="312" spans="1:307" x14ac:dyDescent="0.2">
      <c r="A312" s="172"/>
      <c r="B312" s="172"/>
      <c r="C312" s="172"/>
      <c r="D312" s="172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  <c r="AB312" s="172"/>
      <c r="AC312" s="172"/>
      <c r="AD312" s="172"/>
      <c r="AE312" s="172"/>
      <c r="AF312" s="172"/>
      <c r="AG312" s="172"/>
      <c r="AH312" s="172"/>
      <c r="AI312" s="172"/>
      <c r="AJ312" s="172"/>
      <c r="AK312" s="172"/>
      <c r="AL312" s="172"/>
      <c r="AM312" s="172"/>
      <c r="AN312" s="172"/>
      <c r="AO312" s="172"/>
      <c r="AP312" s="172"/>
      <c r="AQ312" s="172"/>
      <c r="AR312" s="172"/>
      <c r="AS312" s="172"/>
      <c r="AT312" s="172"/>
      <c r="AU312" s="172"/>
      <c r="AV312" s="172"/>
      <c r="AW312" s="172"/>
      <c r="AX312" s="172"/>
      <c r="AY312" s="172"/>
      <c r="AZ312" s="172"/>
      <c r="BA312" s="172"/>
      <c r="BB312" s="172"/>
      <c r="BC312" s="172"/>
      <c r="BD312" s="172"/>
      <c r="BE312" s="172"/>
      <c r="BF312" s="172"/>
      <c r="BG312" s="172"/>
      <c r="BH312" s="172"/>
      <c r="BI312" s="172"/>
      <c r="BJ312" s="172"/>
      <c r="BK312" s="172"/>
      <c r="BL312" s="172"/>
      <c r="BM312" s="172"/>
      <c r="BN312" s="172"/>
      <c r="BO312" s="172"/>
      <c r="BP312" s="172"/>
      <c r="BQ312" s="172"/>
      <c r="BR312" s="172"/>
      <c r="BS312" s="172"/>
      <c r="BT312" s="172"/>
      <c r="BU312" s="172"/>
      <c r="BV312" s="172"/>
      <c r="BW312" s="172"/>
      <c r="BX312" s="175"/>
      <c r="BY312" s="175"/>
      <c r="BZ312" s="175"/>
      <c r="CA312" s="175"/>
      <c r="CB312" s="175"/>
      <c r="CC312" s="175"/>
      <c r="CD312" s="175"/>
      <c r="CE312" s="175"/>
      <c r="CF312" s="175"/>
      <c r="CG312" s="175"/>
      <c r="CH312" s="175"/>
      <c r="CI312" s="175"/>
      <c r="CJ312" s="175"/>
      <c r="CK312" s="175"/>
      <c r="CL312" s="175"/>
      <c r="CM312" s="175"/>
      <c r="CN312" s="175"/>
      <c r="CO312" s="175"/>
      <c r="CP312" s="175"/>
      <c r="CQ312" s="175"/>
      <c r="CR312" s="175"/>
      <c r="CS312" s="175"/>
      <c r="CT312" s="175"/>
      <c r="CU312" s="175"/>
      <c r="CV312" s="175"/>
      <c r="CW312" s="175"/>
      <c r="CX312" s="175"/>
      <c r="CY312" s="175"/>
      <c r="CZ312" s="175"/>
      <c r="DA312" s="175"/>
      <c r="DB312" s="175"/>
      <c r="DC312" s="175"/>
      <c r="DD312" s="175"/>
      <c r="DE312" s="175"/>
      <c r="DF312" s="175"/>
      <c r="DG312" s="175"/>
      <c r="DH312" s="175"/>
      <c r="DI312" s="175"/>
      <c r="DJ312" s="175"/>
      <c r="DK312" s="175"/>
      <c r="DL312" s="175"/>
      <c r="DM312" s="175"/>
      <c r="DN312" s="175"/>
      <c r="DO312" s="175"/>
      <c r="DP312" s="175"/>
      <c r="DQ312" s="175"/>
      <c r="DR312" s="175"/>
      <c r="DS312" s="175"/>
      <c r="DT312" s="175"/>
      <c r="DU312" s="175"/>
      <c r="DV312" s="175"/>
      <c r="DW312" s="175"/>
      <c r="DX312" s="175"/>
      <c r="DY312" s="175"/>
      <c r="DZ312" s="175"/>
      <c r="EA312" s="175"/>
      <c r="EB312" s="175"/>
      <c r="EC312" s="175"/>
      <c r="ED312" s="175"/>
      <c r="EE312" s="175"/>
      <c r="EF312" s="175"/>
      <c r="EG312" s="175"/>
      <c r="EH312" s="175"/>
      <c r="EI312" s="175"/>
      <c r="EJ312" s="175"/>
      <c r="EK312" s="175"/>
      <c r="EL312" s="175"/>
      <c r="EM312" s="175"/>
      <c r="EN312" s="175"/>
      <c r="EO312" s="175"/>
      <c r="EP312" s="175"/>
      <c r="EQ312" s="175"/>
      <c r="ER312" s="175"/>
      <c r="ES312" s="175"/>
      <c r="ET312" s="175"/>
      <c r="EU312" s="175"/>
      <c r="EV312" s="175"/>
      <c r="EW312" s="175"/>
      <c r="EX312" s="175"/>
      <c r="EY312" s="175"/>
      <c r="EZ312" s="175"/>
      <c r="FA312" s="175"/>
      <c r="FB312" s="175"/>
      <c r="FC312" s="175"/>
      <c r="FD312" s="175"/>
      <c r="FE312" s="175"/>
      <c r="FF312" s="175"/>
      <c r="FG312" s="175"/>
      <c r="FH312" s="175"/>
      <c r="FI312" s="175"/>
      <c r="FJ312" s="175"/>
      <c r="FK312" s="175"/>
      <c r="FL312" s="175"/>
      <c r="FM312" s="175"/>
      <c r="FN312" s="175"/>
      <c r="FO312" s="175"/>
      <c r="FP312" s="175"/>
      <c r="FQ312" s="175"/>
      <c r="FR312" s="175"/>
      <c r="FS312" s="175"/>
      <c r="FT312" s="175"/>
      <c r="FU312" s="175"/>
      <c r="FV312" s="175"/>
      <c r="FW312" s="175"/>
      <c r="FX312" s="175"/>
      <c r="FY312" s="175"/>
      <c r="FZ312" s="175"/>
      <c r="GA312" s="175"/>
      <c r="GB312" s="175"/>
      <c r="GC312" s="175"/>
      <c r="GD312" s="175"/>
      <c r="GE312" s="175"/>
      <c r="GF312" s="175"/>
      <c r="GG312" s="175"/>
      <c r="GH312" s="175"/>
      <c r="GI312" s="175"/>
      <c r="GJ312" s="175"/>
      <c r="GK312" s="175"/>
      <c r="GL312" s="175"/>
      <c r="GM312" s="175"/>
      <c r="GN312" s="175"/>
      <c r="GO312" s="175"/>
      <c r="GP312" s="175"/>
      <c r="GQ312" s="175"/>
      <c r="GR312" s="175"/>
      <c r="GS312" s="175"/>
      <c r="GT312" s="175"/>
      <c r="GU312" s="175"/>
      <c r="GV312" s="175"/>
      <c r="GW312" s="175"/>
      <c r="GX312" s="175"/>
      <c r="GY312" s="175"/>
      <c r="GZ312" s="175"/>
      <c r="HA312" s="175"/>
      <c r="HB312" s="175"/>
      <c r="HC312" s="175"/>
      <c r="HD312" s="175"/>
      <c r="HE312" s="175"/>
      <c r="HF312" s="175"/>
      <c r="HG312" s="175"/>
      <c r="HH312" s="175"/>
      <c r="HI312" s="175"/>
      <c r="HJ312" s="175"/>
      <c r="HK312" s="175"/>
      <c r="HL312" s="175"/>
      <c r="HM312" s="175"/>
      <c r="HN312" s="175"/>
      <c r="HO312" s="175"/>
      <c r="HP312" s="175"/>
      <c r="HQ312" s="175"/>
      <c r="HR312" s="175"/>
      <c r="HS312" s="175"/>
      <c r="HT312" s="175"/>
      <c r="HU312" s="175"/>
      <c r="HV312" s="175"/>
      <c r="HW312" s="175"/>
      <c r="HX312" s="175"/>
      <c r="HY312" s="175"/>
      <c r="HZ312" s="175"/>
      <c r="IA312" s="175"/>
      <c r="IB312" s="175"/>
      <c r="IC312" s="175"/>
      <c r="ID312" s="175"/>
      <c r="IE312" s="175"/>
      <c r="IF312" s="175"/>
      <c r="IG312" s="175"/>
      <c r="IH312" s="175"/>
      <c r="II312" s="175"/>
      <c r="IJ312" s="175"/>
      <c r="IK312" s="175"/>
      <c r="IL312" s="175"/>
      <c r="IM312" s="175"/>
      <c r="IN312" s="175"/>
      <c r="IO312" s="175"/>
      <c r="IP312" s="175"/>
      <c r="IQ312" s="175"/>
      <c r="IR312" s="175"/>
      <c r="IS312" s="175"/>
      <c r="IT312" s="175"/>
      <c r="IU312" s="175"/>
      <c r="IV312" s="175"/>
      <c r="IW312" s="175"/>
      <c r="IX312" s="175"/>
      <c r="IY312" s="175"/>
      <c r="IZ312" s="175"/>
      <c r="JA312" s="175"/>
      <c r="JB312" s="175"/>
      <c r="JC312" s="175"/>
      <c r="JD312" s="175"/>
      <c r="JE312" s="175"/>
      <c r="JF312" s="175"/>
      <c r="JG312" s="175"/>
      <c r="JH312" s="175"/>
      <c r="JI312" s="175"/>
      <c r="JJ312" s="175"/>
      <c r="JK312" s="175"/>
      <c r="JL312" s="175"/>
      <c r="JM312" s="175"/>
      <c r="JN312" s="175"/>
      <c r="JO312" s="175"/>
      <c r="JP312" s="175"/>
      <c r="JQ312" s="175"/>
      <c r="JR312" s="175"/>
      <c r="JS312" s="175"/>
      <c r="JT312" s="175"/>
      <c r="JU312" s="175"/>
      <c r="JV312" s="175"/>
      <c r="JW312" s="175"/>
      <c r="JX312" s="175"/>
      <c r="JY312" s="175"/>
      <c r="JZ312" s="175"/>
      <c r="KA312" s="175"/>
      <c r="KB312" s="175"/>
      <c r="KC312" s="175"/>
      <c r="KD312" s="175"/>
      <c r="KE312" s="175"/>
      <c r="KF312" s="175"/>
      <c r="KG312" s="175"/>
      <c r="KH312" s="175"/>
      <c r="KI312" s="175"/>
      <c r="KJ312" s="175"/>
      <c r="KK312" s="175"/>
      <c r="KL312" s="175"/>
      <c r="KM312" s="175"/>
      <c r="KN312" s="175"/>
      <c r="KO312" s="175"/>
      <c r="KP312" s="175"/>
      <c r="KQ312" s="175"/>
      <c r="KR312" s="175"/>
      <c r="KS312" s="175"/>
      <c r="KT312" s="175"/>
      <c r="KU312" s="175"/>
    </row>
    <row r="313" spans="1:307" x14ac:dyDescent="0.2">
      <c r="A313" s="172"/>
      <c r="B313" s="172"/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  <c r="AP313" s="172"/>
      <c r="AQ313" s="172"/>
      <c r="AR313" s="172"/>
      <c r="AS313" s="172"/>
      <c r="AT313" s="172"/>
      <c r="AU313" s="172"/>
      <c r="AV313" s="172"/>
      <c r="AW313" s="172"/>
      <c r="AX313" s="172"/>
      <c r="AY313" s="172"/>
      <c r="AZ313" s="172"/>
      <c r="BA313" s="172"/>
      <c r="BB313" s="172"/>
      <c r="BC313" s="172"/>
      <c r="BD313" s="172"/>
      <c r="BE313" s="172"/>
      <c r="BF313" s="172"/>
      <c r="BG313" s="172"/>
      <c r="BH313" s="172"/>
      <c r="BI313" s="172"/>
      <c r="BJ313" s="172"/>
      <c r="BK313" s="172"/>
      <c r="BL313" s="172"/>
      <c r="BM313" s="172"/>
      <c r="BN313" s="172"/>
      <c r="BO313" s="172"/>
      <c r="BP313" s="172"/>
      <c r="BQ313" s="172"/>
      <c r="BR313" s="172"/>
      <c r="BS313" s="172"/>
      <c r="BT313" s="172"/>
      <c r="BU313" s="172"/>
      <c r="BV313" s="172"/>
      <c r="BW313" s="172"/>
      <c r="BX313" s="175"/>
      <c r="BY313" s="175"/>
      <c r="BZ313" s="175"/>
      <c r="CA313" s="175"/>
      <c r="CB313" s="175"/>
      <c r="CC313" s="175"/>
      <c r="CD313" s="175"/>
      <c r="CE313" s="175"/>
      <c r="CF313" s="175"/>
      <c r="CG313" s="175"/>
      <c r="CH313" s="175"/>
      <c r="CI313" s="175"/>
      <c r="CJ313" s="175"/>
      <c r="CK313" s="175"/>
      <c r="CL313" s="175"/>
      <c r="CM313" s="175"/>
      <c r="CN313" s="175"/>
      <c r="CO313" s="175"/>
      <c r="CP313" s="175"/>
      <c r="CQ313" s="175"/>
      <c r="CR313" s="175"/>
      <c r="CS313" s="175"/>
      <c r="CT313" s="175"/>
      <c r="CU313" s="175"/>
      <c r="CV313" s="175"/>
      <c r="CW313" s="175"/>
      <c r="CX313" s="175"/>
      <c r="CY313" s="175"/>
      <c r="CZ313" s="175"/>
      <c r="DA313" s="175"/>
      <c r="DB313" s="175"/>
      <c r="DC313" s="175"/>
      <c r="DD313" s="175"/>
      <c r="DE313" s="175"/>
      <c r="DF313" s="175"/>
      <c r="DG313" s="175"/>
      <c r="DH313" s="175"/>
      <c r="DI313" s="175"/>
      <c r="DJ313" s="175"/>
      <c r="DK313" s="175"/>
      <c r="DL313" s="175"/>
      <c r="DM313" s="175"/>
      <c r="DN313" s="175"/>
      <c r="DO313" s="175"/>
      <c r="DP313" s="175"/>
      <c r="DQ313" s="175"/>
      <c r="DR313" s="175"/>
      <c r="DS313" s="175"/>
      <c r="DT313" s="175"/>
      <c r="DU313" s="175"/>
      <c r="DV313" s="175"/>
      <c r="DW313" s="175"/>
      <c r="DX313" s="175"/>
      <c r="DY313" s="175"/>
      <c r="DZ313" s="175"/>
      <c r="EA313" s="175"/>
      <c r="EB313" s="175"/>
      <c r="EC313" s="175"/>
      <c r="ED313" s="175"/>
      <c r="EE313" s="175"/>
      <c r="EF313" s="175"/>
      <c r="EG313" s="175"/>
      <c r="EH313" s="175"/>
      <c r="EI313" s="175"/>
      <c r="EJ313" s="175"/>
      <c r="EK313" s="175"/>
      <c r="EL313" s="175"/>
      <c r="EM313" s="175"/>
      <c r="EN313" s="175"/>
      <c r="EO313" s="175"/>
      <c r="EP313" s="175"/>
      <c r="EQ313" s="175"/>
      <c r="ER313" s="175"/>
      <c r="ES313" s="175"/>
      <c r="ET313" s="175"/>
      <c r="EU313" s="175"/>
      <c r="EV313" s="175"/>
      <c r="EW313" s="175"/>
      <c r="EX313" s="175"/>
      <c r="EY313" s="175"/>
      <c r="EZ313" s="175"/>
      <c r="FA313" s="175"/>
      <c r="FB313" s="175"/>
      <c r="FC313" s="175"/>
      <c r="FD313" s="175"/>
      <c r="FE313" s="175"/>
      <c r="FF313" s="175"/>
      <c r="FG313" s="175"/>
      <c r="FH313" s="175"/>
      <c r="FI313" s="175"/>
      <c r="FJ313" s="175"/>
      <c r="FK313" s="175"/>
      <c r="FL313" s="175"/>
      <c r="FM313" s="175"/>
      <c r="FN313" s="175"/>
      <c r="FO313" s="175"/>
      <c r="FP313" s="175"/>
      <c r="FQ313" s="175"/>
      <c r="FR313" s="175"/>
      <c r="FS313" s="175"/>
      <c r="FT313" s="175"/>
      <c r="FU313" s="175"/>
      <c r="FV313" s="175"/>
      <c r="FW313" s="175"/>
      <c r="FX313" s="175"/>
      <c r="FY313" s="175"/>
      <c r="FZ313" s="175"/>
      <c r="GA313" s="175"/>
      <c r="GB313" s="175"/>
      <c r="GC313" s="175"/>
      <c r="GD313" s="175"/>
      <c r="GE313" s="175"/>
      <c r="GF313" s="175"/>
      <c r="GG313" s="175"/>
      <c r="GH313" s="175"/>
      <c r="GI313" s="175"/>
      <c r="GJ313" s="175"/>
      <c r="GK313" s="175"/>
      <c r="GL313" s="175"/>
      <c r="GM313" s="175"/>
      <c r="GN313" s="175"/>
      <c r="GO313" s="175"/>
      <c r="GP313" s="175"/>
      <c r="GQ313" s="175"/>
      <c r="GR313" s="175"/>
      <c r="GS313" s="175"/>
      <c r="GT313" s="175"/>
      <c r="GU313" s="175"/>
      <c r="GV313" s="175"/>
      <c r="GW313" s="175"/>
      <c r="GX313" s="175"/>
      <c r="GY313" s="175"/>
      <c r="GZ313" s="175"/>
      <c r="HA313" s="175"/>
      <c r="HB313" s="175"/>
      <c r="HC313" s="175"/>
      <c r="HD313" s="175"/>
      <c r="HE313" s="175"/>
      <c r="HF313" s="175"/>
      <c r="HG313" s="175"/>
      <c r="HH313" s="175"/>
      <c r="HI313" s="175"/>
      <c r="HJ313" s="175"/>
      <c r="HK313" s="175"/>
      <c r="HL313" s="175"/>
      <c r="HM313" s="175"/>
      <c r="HN313" s="175"/>
      <c r="HO313" s="175"/>
      <c r="HP313" s="175"/>
      <c r="HQ313" s="175"/>
      <c r="HR313" s="175"/>
      <c r="HS313" s="175"/>
      <c r="HT313" s="175"/>
      <c r="HU313" s="175"/>
      <c r="HV313" s="175"/>
      <c r="HW313" s="175"/>
      <c r="HX313" s="175"/>
      <c r="HY313" s="175"/>
      <c r="HZ313" s="175"/>
      <c r="IA313" s="175"/>
      <c r="IB313" s="175"/>
      <c r="IC313" s="175"/>
      <c r="ID313" s="175"/>
      <c r="IE313" s="175"/>
      <c r="IF313" s="175"/>
      <c r="IG313" s="175"/>
      <c r="IH313" s="175"/>
      <c r="II313" s="175"/>
      <c r="IJ313" s="175"/>
      <c r="IK313" s="175"/>
      <c r="IL313" s="175"/>
      <c r="IM313" s="175"/>
      <c r="IN313" s="175"/>
      <c r="IO313" s="175"/>
      <c r="IP313" s="175"/>
      <c r="IQ313" s="175"/>
      <c r="IR313" s="175"/>
      <c r="IS313" s="175"/>
      <c r="IT313" s="175"/>
      <c r="IU313" s="175"/>
      <c r="IV313" s="175"/>
      <c r="IW313" s="175"/>
      <c r="IX313" s="175"/>
      <c r="IY313" s="175"/>
      <c r="IZ313" s="175"/>
      <c r="JA313" s="175"/>
      <c r="JB313" s="175"/>
      <c r="JC313" s="175"/>
      <c r="JD313" s="175"/>
      <c r="JE313" s="175"/>
      <c r="JF313" s="175"/>
      <c r="JG313" s="175"/>
      <c r="JH313" s="175"/>
      <c r="JI313" s="175"/>
      <c r="JJ313" s="175"/>
      <c r="JK313" s="175"/>
      <c r="JL313" s="175"/>
      <c r="JM313" s="175"/>
      <c r="JN313" s="175"/>
      <c r="JO313" s="175"/>
      <c r="JP313" s="175"/>
      <c r="JQ313" s="175"/>
      <c r="JR313" s="175"/>
      <c r="JS313" s="175"/>
      <c r="JT313" s="175"/>
      <c r="JU313" s="175"/>
      <c r="JV313" s="175"/>
      <c r="JW313" s="175"/>
      <c r="JX313" s="175"/>
      <c r="JY313" s="175"/>
      <c r="JZ313" s="175"/>
      <c r="KA313" s="175"/>
      <c r="KB313" s="175"/>
      <c r="KC313" s="175"/>
      <c r="KD313" s="175"/>
      <c r="KE313" s="175"/>
      <c r="KF313" s="175"/>
      <c r="KG313" s="175"/>
      <c r="KH313" s="175"/>
      <c r="KI313" s="175"/>
      <c r="KJ313" s="175"/>
      <c r="KK313" s="175"/>
      <c r="KL313" s="175"/>
      <c r="KM313" s="175"/>
      <c r="KN313" s="175"/>
      <c r="KO313" s="175"/>
      <c r="KP313" s="175"/>
      <c r="KQ313" s="175"/>
      <c r="KR313" s="175"/>
      <c r="KS313" s="175"/>
      <c r="KT313" s="175"/>
      <c r="KU313" s="175"/>
    </row>
    <row r="314" spans="1:307" x14ac:dyDescent="0.2">
      <c r="A314" s="172"/>
      <c r="B314" s="172"/>
      <c r="C314" s="172"/>
      <c r="D314" s="172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  <c r="AP314" s="172"/>
      <c r="AQ314" s="172"/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  <c r="BE314" s="172"/>
      <c r="BF314" s="172"/>
      <c r="BG314" s="172"/>
      <c r="BH314" s="172"/>
      <c r="BI314" s="172"/>
      <c r="BJ314" s="172"/>
      <c r="BK314" s="172"/>
      <c r="BL314" s="172"/>
      <c r="BM314" s="172"/>
      <c r="BN314" s="172"/>
      <c r="BO314" s="172"/>
      <c r="BP314" s="172"/>
      <c r="BQ314" s="172"/>
      <c r="BR314" s="172"/>
      <c r="BS314" s="172"/>
      <c r="BT314" s="172"/>
      <c r="BU314" s="172"/>
      <c r="BV314" s="172"/>
      <c r="BW314" s="172"/>
      <c r="BX314" s="175"/>
      <c r="BY314" s="175"/>
      <c r="BZ314" s="175"/>
      <c r="CA314" s="175"/>
      <c r="CB314" s="175"/>
      <c r="CC314" s="175"/>
      <c r="CD314" s="175"/>
      <c r="CE314" s="175"/>
      <c r="CF314" s="175"/>
      <c r="CG314" s="175"/>
      <c r="CH314" s="175"/>
      <c r="CI314" s="175"/>
      <c r="CJ314" s="175"/>
      <c r="CK314" s="175"/>
      <c r="CL314" s="175"/>
      <c r="CM314" s="175"/>
      <c r="CN314" s="175"/>
      <c r="CO314" s="175"/>
      <c r="CP314" s="175"/>
      <c r="CQ314" s="175"/>
      <c r="CR314" s="175"/>
      <c r="CS314" s="175"/>
      <c r="CT314" s="175"/>
      <c r="CU314" s="175"/>
      <c r="CV314" s="175"/>
      <c r="CW314" s="175"/>
      <c r="CX314" s="175"/>
      <c r="CY314" s="175"/>
      <c r="CZ314" s="175"/>
      <c r="DA314" s="175"/>
      <c r="DB314" s="175"/>
      <c r="DC314" s="175"/>
      <c r="DD314" s="175"/>
      <c r="DE314" s="175"/>
      <c r="DF314" s="175"/>
      <c r="DG314" s="175"/>
      <c r="DH314" s="175"/>
      <c r="DI314" s="175"/>
      <c r="DJ314" s="175"/>
      <c r="DK314" s="175"/>
      <c r="DL314" s="175"/>
      <c r="DM314" s="175"/>
      <c r="DN314" s="175"/>
      <c r="DO314" s="175"/>
      <c r="DP314" s="175"/>
      <c r="DQ314" s="175"/>
      <c r="DR314" s="175"/>
      <c r="DS314" s="175"/>
      <c r="DT314" s="175"/>
      <c r="DU314" s="175"/>
      <c r="DV314" s="175"/>
      <c r="DW314" s="175"/>
      <c r="DX314" s="175"/>
      <c r="DY314" s="175"/>
      <c r="DZ314" s="175"/>
      <c r="EA314" s="175"/>
      <c r="EB314" s="175"/>
      <c r="EC314" s="175"/>
      <c r="ED314" s="175"/>
      <c r="EE314" s="175"/>
      <c r="EF314" s="175"/>
      <c r="EG314" s="175"/>
      <c r="EH314" s="175"/>
      <c r="EI314" s="175"/>
      <c r="EJ314" s="175"/>
      <c r="EK314" s="175"/>
      <c r="EL314" s="175"/>
      <c r="EM314" s="175"/>
      <c r="EN314" s="175"/>
      <c r="EO314" s="175"/>
      <c r="EP314" s="175"/>
      <c r="EQ314" s="175"/>
      <c r="ER314" s="175"/>
      <c r="ES314" s="175"/>
      <c r="ET314" s="175"/>
      <c r="EU314" s="175"/>
      <c r="EV314" s="175"/>
      <c r="EW314" s="175"/>
      <c r="EX314" s="175"/>
      <c r="EY314" s="175"/>
      <c r="EZ314" s="175"/>
      <c r="FA314" s="175"/>
      <c r="FB314" s="175"/>
      <c r="FC314" s="175"/>
      <c r="FD314" s="175"/>
      <c r="FE314" s="175"/>
      <c r="FF314" s="175"/>
      <c r="FG314" s="175"/>
      <c r="FH314" s="175"/>
      <c r="FI314" s="175"/>
      <c r="FJ314" s="175"/>
      <c r="FK314" s="175"/>
      <c r="FL314" s="175"/>
      <c r="FM314" s="175"/>
      <c r="FN314" s="175"/>
      <c r="FO314" s="175"/>
      <c r="FP314" s="175"/>
      <c r="FQ314" s="175"/>
      <c r="FR314" s="175"/>
      <c r="FS314" s="175"/>
      <c r="FT314" s="175"/>
      <c r="FU314" s="175"/>
      <c r="FV314" s="175"/>
      <c r="FW314" s="175"/>
      <c r="FX314" s="175"/>
      <c r="FY314" s="175"/>
      <c r="FZ314" s="175"/>
      <c r="GA314" s="175"/>
      <c r="GB314" s="175"/>
      <c r="GC314" s="175"/>
      <c r="GD314" s="175"/>
      <c r="GE314" s="175"/>
      <c r="GF314" s="175"/>
      <c r="GG314" s="175"/>
      <c r="GH314" s="175"/>
      <c r="GI314" s="175"/>
      <c r="GJ314" s="175"/>
      <c r="GK314" s="175"/>
      <c r="GL314" s="175"/>
      <c r="GM314" s="175"/>
      <c r="GN314" s="175"/>
      <c r="GO314" s="175"/>
      <c r="GP314" s="175"/>
      <c r="GQ314" s="175"/>
      <c r="GR314" s="175"/>
      <c r="GS314" s="175"/>
      <c r="GT314" s="175"/>
      <c r="GU314" s="175"/>
      <c r="GV314" s="175"/>
      <c r="GW314" s="175"/>
      <c r="GX314" s="175"/>
      <c r="GY314" s="175"/>
      <c r="GZ314" s="175"/>
      <c r="HA314" s="175"/>
      <c r="HB314" s="175"/>
      <c r="HC314" s="175"/>
      <c r="HD314" s="175"/>
      <c r="HE314" s="175"/>
      <c r="HF314" s="175"/>
      <c r="HG314" s="175"/>
      <c r="HH314" s="175"/>
      <c r="HI314" s="175"/>
      <c r="HJ314" s="175"/>
      <c r="HK314" s="175"/>
      <c r="HL314" s="175"/>
      <c r="HM314" s="175"/>
      <c r="HN314" s="175"/>
      <c r="HO314" s="175"/>
      <c r="HP314" s="175"/>
      <c r="HQ314" s="175"/>
      <c r="HR314" s="175"/>
      <c r="HS314" s="175"/>
      <c r="HT314" s="175"/>
      <c r="HU314" s="175"/>
      <c r="HV314" s="175"/>
      <c r="HW314" s="175"/>
      <c r="HX314" s="175"/>
      <c r="HY314" s="175"/>
      <c r="HZ314" s="175"/>
      <c r="IA314" s="175"/>
      <c r="IB314" s="175"/>
      <c r="IC314" s="175"/>
      <c r="ID314" s="175"/>
      <c r="IE314" s="175"/>
      <c r="IF314" s="175"/>
      <c r="IG314" s="175"/>
      <c r="IH314" s="175"/>
      <c r="II314" s="175"/>
      <c r="IJ314" s="175"/>
      <c r="IK314" s="175"/>
      <c r="IL314" s="175"/>
      <c r="IM314" s="175"/>
      <c r="IN314" s="175"/>
      <c r="IO314" s="175"/>
      <c r="IP314" s="175"/>
      <c r="IQ314" s="175"/>
      <c r="IR314" s="175"/>
      <c r="IS314" s="175"/>
      <c r="IT314" s="175"/>
      <c r="IU314" s="175"/>
      <c r="IV314" s="175"/>
      <c r="IW314" s="175"/>
      <c r="IX314" s="175"/>
      <c r="IY314" s="175"/>
      <c r="IZ314" s="175"/>
      <c r="JA314" s="175"/>
      <c r="JB314" s="175"/>
      <c r="JC314" s="175"/>
      <c r="JD314" s="175"/>
      <c r="JE314" s="175"/>
      <c r="JF314" s="175"/>
      <c r="JG314" s="175"/>
      <c r="JH314" s="175"/>
      <c r="JI314" s="175"/>
      <c r="JJ314" s="175"/>
      <c r="JK314" s="175"/>
      <c r="JL314" s="175"/>
      <c r="JM314" s="175"/>
      <c r="JN314" s="175"/>
      <c r="JO314" s="175"/>
      <c r="JP314" s="175"/>
      <c r="JQ314" s="175"/>
      <c r="JR314" s="175"/>
      <c r="JS314" s="175"/>
      <c r="JT314" s="175"/>
      <c r="JU314" s="175"/>
      <c r="JV314" s="175"/>
      <c r="JW314" s="175"/>
      <c r="JX314" s="175"/>
      <c r="JY314" s="175"/>
      <c r="JZ314" s="175"/>
      <c r="KA314" s="175"/>
      <c r="KB314" s="175"/>
      <c r="KC314" s="175"/>
      <c r="KD314" s="175"/>
      <c r="KE314" s="175"/>
      <c r="KF314" s="175"/>
      <c r="KG314" s="175"/>
      <c r="KH314" s="175"/>
      <c r="KI314" s="175"/>
      <c r="KJ314" s="175"/>
      <c r="KK314" s="175"/>
      <c r="KL314" s="175"/>
      <c r="KM314" s="175"/>
      <c r="KN314" s="175"/>
      <c r="KO314" s="175"/>
      <c r="KP314" s="175"/>
      <c r="KQ314" s="175"/>
      <c r="KR314" s="175"/>
      <c r="KS314" s="175"/>
      <c r="KT314" s="175"/>
      <c r="KU314" s="175"/>
    </row>
    <row r="315" spans="1:307" x14ac:dyDescent="0.2">
      <c r="A315" s="172"/>
      <c r="B315" s="172"/>
      <c r="C315" s="172"/>
      <c r="D315" s="172"/>
      <c r="E315" s="172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  <c r="AA315" s="172"/>
      <c r="AB315" s="172"/>
      <c r="AC315" s="172"/>
      <c r="AD315" s="172"/>
      <c r="AE315" s="172"/>
      <c r="AF315" s="172"/>
      <c r="AG315" s="172"/>
      <c r="AH315" s="172"/>
      <c r="AI315" s="172"/>
      <c r="AJ315" s="172"/>
      <c r="AK315" s="172"/>
      <c r="AL315" s="172"/>
      <c r="AM315" s="172"/>
      <c r="AN315" s="172"/>
      <c r="AO315" s="172"/>
      <c r="AP315" s="172"/>
      <c r="AQ315" s="172"/>
      <c r="AR315" s="172"/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2"/>
      <c r="BC315" s="172"/>
      <c r="BD315" s="172"/>
      <c r="BE315" s="172"/>
      <c r="BF315" s="172"/>
      <c r="BG315" s="172"/>
      <c r="BH315" s="172"/>
      <c r="BI315" s="172"/>
      <c r="BJ315" s="172"/>
      <c r="BK315" s="172"/>
      <c r="BL315" s="172"/>
      <c r="BM315" s="172"/>
      <c r="BN315" s="172"/>
      <c r="BO315" s="172"/>
      <c r="BP315" s="172"/>
      <c r="BQ315" s="172"/>
      <c r="BR315" s="172"/>
      <c r="BS315" s="172"/>
      <c r="BT315" s="172"/>
      <c r="BU315" s="172"/>
      <c r="BV315" s="172"/>
      <c r="BW315" s="172"/>
      <c r="BX315" s="175"/>
      <c r="BY315" s="175"/>
      <c r="BZ315" s="175"/>
      <c r="CA315" s="175"/>
      <c r="CB315" s="175"/>
      <c r="CC315" s="175"/>
      <c r="CD315" s="175"/>
      <c r="CE315" s="175"/>
      <c r="CF315" s="175"/>
      <c r="CG315" s="175"/>
      <c r="CH315" s="175"/>
      <c r="CI315" s="175"/>
      <c r="CJ315" s="175"/>
      <c r="CK315" s="175"/>
      <c r="CL315" s="175"/>
      <c r="CM315" s="175"/>
      <c r="CN315" s="175"/>
      <c r="CO315" s="175"/>
      <c r="CP315" s="175"/>
      <c r="CQ315" s="175"/>
      <c r="CR315" s="175"/>
      <c r="CS315" s="175"/>
      <c r="CT315" s="175"/>
      <c r="CU315" s="175"/>
      <c r="CV315" s="175"/>
      <c r="CW315" s="175"/>
      <c r="CX315" s="175"/>
      <c r="CY315" s="175"/>
      <c r="CZ315" s="175"/>
      <c r="DA315" s="175"/>
      <c r="DB315" s="175"/>
      <c r="DC315" s="175"/>
      <c r="DD315" s="175"/>
      <c r="DE315" s="175"/>
      <c r="DF315" s="175"/>
      <c r="DG315" s="175"/>
      <c r="DH315" s="175"/>
      <c r="DI315" s="175"/>
      <c r="DJ315" s="175"/>
      <c r="DK315" s="175"/>
      <c r="DL315" s="175"/>
      <c r="DM315" s="175"/>
      <c r="DN315" s="175"/>
      <c r="DO315" s="175"/>
      <c r="DP315" s="175"/>
      <c r="DQ315" s="175"/>
      <c r="DR315" s="175"/>
      <c r="DS315" s="175"/>
      <c r="DT315" s="175"/>
      <c r="DU315" s="175"/>
      <c r="DV315" s="175"/>
      <c r="DW315" s="175"/>
      <c r="DX315" s="175"/>
      <c r="DY315" s="175"/>
      <c r="DZ315" s="175"/>
      <c r="EA315" s="175"/>
      <c r="EB315" s="175"/>
      <c r="EC315" s="175"/>
      <c r="ED315" s="175"/>
      <c r="EE315" s="175"/>
      <c r="EF315" s="175"/>
      <c r="EG315" s="175"/>
      <c r="EH315" s="175"/>
      <c r="EI315" s="175"/>
      <c r="EJ315" s="175"/>
      <c r="EK315" s="175"/>
      <c r="EL315" s="175"/>
      <c r="EM315" s="175"/>
      <c r="EN315" s="175"/>
      <c r="EO315" s="175"/>
      <c r="EP315" s="175"/>
      <c r="EQ315" s="175"/>
      <c r="ER315" s="175"/>
      <c r="ES315" s="175"/>
      <c r="ET315" s="175"/>
      <c r="EU315" s="175"/>
      <c r="EV315" s="175"/>
      <c r="EW315" s="175"/>
      <c r="EX315" s="175"/>
      <c r="EY315" s="175"/>
      <c r="EZ315" s="175"/>
      <c r="FA315" s="175"/>
      <c r="FB315" s="175"/>
      <c r="FC315" s="175"/>
      <c r="FD315" s="175"/>
      <c r="FE315" s="175"/>
      <c r="FF315" s="175"/>
      <c r="FG315" s="175"/>
      <c r="FH315" s="175"/>
      <c r="FI315" s="175"/>
      <c r="FJ315" s="175"/>
      <c r="FK315" s="175"/>
      <c r="FL315" s="175"/>
      <c r="FM315" s="175"/>
      <c r="FN315" s="175"/>
      <c r="FO315" s="175"/>
      <c r="FP315" s="175"/>
      <c r="FQ315" s="175"/>
      <c r="FR315" s="175"/>
      <c r="FS315" s="175"/>
      <c r="FT315" s="175"/>
      <c r="FU315" s="175"/>
      <c r="FV315" s="175"/>
      <c r="FW315" s="175"/>
      <c r="FX315" s="175"/>
      <c r="FY315" s="175"/>
      <c r="FZ315" s="175"/>
      <c r="GA315" s="175"/>
      <c r="GB315" s="175"/>
      <c r="GC315" s="175"/>
      <c r="GD315" s="175"/>
      <c r="GE315" s="175"/>
      <c r="GF315" s="175"/>
      <c r="GG315" s="175"/>
      <c r="GH315" s="175"/>
      <c r="GI315" s="175"/>
      <c r="GJ315" s="175"/>
      <c r="GK315" s="175"/>
      <c r="GL315" s="175"/>
      <c r="GM315" s="175"/>
      <c r="GN315" s="175"/>
      <c r="GO315" s="175"/>
      <c r="GP315" s="175"/>
      <c r="GQ315" s="175"/>
      <c r="GR315" s="175"/>
      <c r="GS315" s="175"/>
      <c r="GT315" s="175"/>
      <c r="GU315" s="175"/>
      <c r="GV315" s="175"/>
      <c r="GW315" s="175"/>
      <c r="GX315" s="175"/>
      <c r="GY315" s="175"/>
      <c r="GZ315" s="175"/>
      <c r="HA315" s="175"/>
      <c r="HB315" s="175"/>
      <c r="HC315" s="175"/>
      <c r="HD315" s="175"/>
      <c r="HE315" s="175"/>
      <c r="HF315" s="175"/>
      <c r="HG315" s="175"/>
      <c r="HH315" s="175"/>
      <c r="HI315" s="175"/>
      <c r="HJ315" s="175"/>
      <c r="HK315" s="175"/>
      <c r="HL315" s="175"/>
      <c r="HM315" s="175"/>
      <c r="HN315" s="175"/>
      <c r="HO315" s="175"/>
      <c r="HP315" s="175"/>
      <c r="HQ315" s="175"/>
      <c r="HR315" s="175"/>
      <c r="HS315" s="175"/>
      <c r="HT315" s="175"/>
      <c r="HU315" s="175"/>
      <c r="HV315" s="175"/>
      <c r="HW315" s="175"/>
      <c r="HX315" s="175"/>
      <c r="HY315" s="175"/>
      <c r="HZ315" s="175"/>
      <c r="IA315" s="175"/>
      <c r="IB315" s="175"/>
      <c r="IC315" s="175"/>
      <c r="ID315" s="175"/>
      <c r="IE315" s="175"/>
      <c r="IF315" s="175"/>
      <c r="IG315" s="175"/>
      <c r="IH315" s="175"/>
      <c r="II315" s="175"/>
      <c r="IJ315" s="175"/>
      <c r="IK315" s="175"/>
      <c r="IL315" s="175"/>
      <c r="IM315" s="175"/>
      <c r="IN315" s="175"/>
      <c r="IO315" s="175"/>
      <c r="IP315" s="175"/>
      <c r="IQ315" s="175"/>
      <c r="IR315" s="175"/>
      <c r="IS315" s="175"/>
      <c r="IT315" s="175"/>
      <c r="IU315" s="175"/>
      <c r="IV315" s="175"/>
      <c r="IW315" s="175"/>
      <c r="IX315" s="175"/>
      <c r="IY315" s="175"/>
      <c r="IZ315" s="175"/>
      <c r="JA315" s="175"/>
      <c r="JB315" s="175"/>
      <c r="JC315" s="175"/>
      <c r="JD315" s="175"/>
      <c r="JE315" s="175"/>
      <c r="JF315" s="175"/>
      <c r="JG315" s="175"/>
      <c r="JH315" s="175"/>
      <c r="JI315" s="175"/>
      <c r="JJ315" s="175"/>
      <c r="JK315" s="175"/>
      <c r="JL315" s="175"/>
      <c r="JM315" s="175"/>
      <c r="JN315" s="175"/>
      <c r="JO315" s="175"/>
      <c r="JP315" s="175"/>
      <c r="JQ315" s="175"/>
      <c r="JR315" s="175"/>
      <c r="JS315" s="175"/>
      <c r="JT315" s="175"/>
      <c r="JU315" s="175"/>
      <c r="JV315" s="175"/>
      <c r="JW315" s="175"/>
      <c r="JX315" s="175"/>
      <c r="JY315" s="175"/>
      <c r="JZ315" s="175"/>
      <c r="KA315" s="175"/>
      <c r="KB315" s="175"/>
      <c r="KC315" s="175"/>
      <c r="KD315" s="175"/>
      <c r="KE315" s="175"/>
      <c r="KF315" s="175"/>
      <c r="KG315" s="175"/>
      <c r="KH315" s="175"/>
      <c r="KI315" s="175"/>
      <c r="KJ315" s="175"/>
      <c r="KK315" s="175"/>
      <c r="KL315" s="175"/>
      <c r="KM315" s="175"/>
      <c r="KN315" s="175"/>
      <c r="KO315" s="175"/>
      <c r="KP315" s="175"/>
      <c r="KQ315" s="175"/>
      <c r="KR315" s="175"/>
      <c r="KS315" s="175"/>
      <c r="KT315" s="175"/>
      <c r="KU315" s="175"/>
    </row>
    <row r="316" spans="1:307" x14ac:dyDescent="0.2">
      <c r="A316" s="172"/>
      <c r="B316" s="172"/>
      <c r="C316" s="172"/>
      <c r="D316" s="172"/>
      <c r="E316" s="172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  <c r="AA316" s="172"/>
      <c r="AB316" s="172"/>
      <c r="AC316" s="172"/>
      <c r="AD316" s="172"/>
      <c r="AE316" s="172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  <c r="AP316" s="172"/>
      <c r="AQ316" s="172"/>
      <c r="AR316" s="172"/>
      <c r="AS316" s="172"/>
      <c r="AT316" s="172"/>
      <c r="AU316" s="172"/>
      <c r="AV316" s="172"/>
      <c r="AW316" s="172"/>
      <c r="AX316" s="172"/>
      <c r="AY316" s="172"/>
      <c r="AZ316" s="172"/>
      <c r="BA316" s="172"/>
      <c r="BB316" s="172"/>
      <c r="BC316" s="172"/>
      <c r="BD316" s="172"/>
      <c r="BE316" s="172"/>
      <c r="BF316" s="172"/>
      <c r="BG316" s="172"/>
      <c r="BH316" s="172"/>
      <c r="BI316" s="172"/>
      <c r="BJ316" s="172"/>
      <c r="BK316" s="172"/>
      <c r="BL316" s="172"/>
      <c r="BM316" s="172"/>
      <c r="BN316" s="172"/>
      <c r="BO316" s="172"/>
      <c r="BP316" s="172"/>
      <c r="BQ316" s="172"/>
      <c r="BR316" s="172"/>
      <c r="BS316" s="172"/>
      <c r="BT316" s="172"/>
      <c r="BU316" s="172"/>
      <c r="BV316" s="172"/>
      <c r="BW316" s="172"/>
      <c r="BX316" s="175"/>
      <c r="BY316" s="175"/>
      <c r="BZ316" s="175"/>
      <c r="CA316" s="175"/>
      <c r="CB316" s="175"/>
      <c r="CC316" s="175"/>
      <c r="CD316" s="175"/>
      <c r="CE316" s="175"/>
      <c r="CF316" s="175"/>
      <c r="CG316" s="175"/>
      <c r="CH316" s="175"/>
      <c r="CI316" s="175"/>
      <c r="CJ316" s="175"/>
      <c r="CK316" s="175"/>
      <c r="CL316" s="175"/>
      <c r="CM316" s="175"/>
      <c r="CN316" s="175"/>
      <c r="CO316" s="175"/>
      <c r="CP316" s="175"/>
      <c r="CQ316" s="175"/>
      <c r="CR316" s="175"/>
      <c r="CS316" s="175"/>
      <c r="CT316" s="175"/>
      <c r="CU316" s="175"/>
      <c r="CV316" s="175"/>
      <c r="CW316" s="175"/>
      <c r="CX316" s="175"/>
      <c r="CY316" s="175"/>
      <c r="CZ316" s="175"/>
      <c r="DA316" s="175"/>
      <c r="DB316" s="175"/>
      <c r="DC316" s="175"/>
      <c r="DD316" s="175"/>
      <c r="DE316" s="175"/>
      <c r="DF316" s="175"/>
      <c r="DG316" s="175"/>
      <c r="DH316" s="175"/>
      <c r="DI316" s="175"/>
      <c r="DJ316" s="175"/>
      <c r="DK316" s="175"/>
      <c r="DL316" s="175"/>
      <c r="DM316" s="175"/>
      <c r="DN316" s="175"/>
      <c r="DO316" s="175"/>
      <c r="DP316" s="175"/>
      <c r="DQ316" s="175"/>
      <c r="DR316" s="175"/>
      <c r="DS316" s="175"/>
      <c r="DT316" s="175"/>
      <c r="DU316" s="175"/>
      <c r="DV316" s="175"/>
      <c r="DW316" s="175"/>
      <c r="DX316" s="175"/>
      <c r="DY316" s="175"/>
      <c r="DZ316" s="175"/>
      <c r="EA316" s="175"/>
      <c r="EB316" s="175"/>
      <c r="EC316" s="175"/>
      <c r="ED316" s="175"/>
      <c r="EE316" s="175"/>
      <c r="EF316" s="175"/>
      <c r="EG316" s="175"/>
      <c r="EH316" s="175"/>
      <c r="EI316" s="175"/>
      <c r="EJ316" s="175"/>
      <c r="EK316" s="175"/>
      <c r="EL316" s="175"/>
      <c r="EM316" s="175"/>
      <c r="EN316" s="175"/>
      <c r="EO316" s="175"/>
      <c r="EP316" s="175"/>
      <c r="EQ316" s="175"/>
      <c r="ER316" s="175"/>
      <c r="ES316" s="175"/>
      <c r="ET316" s="175"/>
      <c r="EU316" s="175"/>
      <c r="EV316" s="175"/>
      <c r="EW316" s="175"/>
      <c r="EX316" s="175"/>
      <c r="EY316" s="175"/>
      <c r="EZ316" s="175"/>
      <c r="FA316" s="175"/>
      <c r="FB316" s="175"/>
      <c r="FC316" s="175"/>
      <c r="FD316" s="175"/>
      <c r="FE316" s="175"/>
      <c r="FF316" s="175"/>
      <c r="FG316" s="175"/>
      <c r="FH316" s="175"/>
      <c r="FI316" s="175"/>
      <c r="FJ316" s="175"/>
      <c r="FK316" s="175"/>
      <c r="FL316" s="175"/>
      <c r="FM316" s="175"/>
      <c r="FN316" s="175"/>
      <c r="FO316" s="175"/>
      <c r="FP316" s="175"/>
      <c r="FQ316" s="175"/>
      <c r="FR316" s="175"/>
      <c r="FS316" s="175"/>
      <c r="FT316" s="175"/>
      <c r="FU316" s="175"/>
      <c r="FV316" s="175"/>
      <c r="FW316" s="175"/>
      <c r="FX316" s="175"/>
      <c r="FY316" s="175"/>
      <c r="FZ316" s="175"/>
      <c r="GA316" s="175"/>
      <c r="GB316" s="175"/>
      <c r="GC316" s="175"/>
      <c r="GD316" s="175"/>
      <c r="GE316" s="175"/>
      <c r="GF316" s="175"/>
      <c r="GG316" s="175"/>
      <c r="GH316" s="175"/>
      <c r="GI316" s="175"/>
      <c r="GJ316" s="175"/>
      <c r="GK316" s="175"/>
      <c r="GL316" s="175"/>
      <c r="GM316" s="175"/>
      <c r="GN316" s="175"/>
      <c r="GO316" s="175"/>
      <c r="GP316" s="175"/>
      <c r="GQ316" s="175"/>
      <c r="GR316" s="175"/>
      <c r="GS316" s="175"/>
      <c r="GT316" s="175"/>
      <c r="GU316" s="175"/>
      <c r="GV316" s="175"/>
      <c r="GW316" s="175"/>
      <c r="GX316" s="175"/>
      <c r="GY316" s="175"/>
      <c r="GZ316" s="175"/>
      <c r="HA316" s="175"/>
      <c r="HB316" s="175"/>
      <c r="HC316" s="175"/>
      <c r="HD316" s="175"/>
      <c r="HE316" s="175"/>
      <c r="HF316" s="175"/>
      <c r="HG316" s="175"/>
      <c r="HH316" s="175"/>
      <c r="HI316" s="175"/>
      <c r="HJ316" s="175"/>
      <c r="HK316" s="175"/>
      <c r="HL316" s="175"/>
      <c r="HM316" s="175"/>
      <c r="HN316" s="175"/>
      <c r="HO316" s="175"/>
      <c r="HP316" s="175"/>
      <c r="HQ316" s="175"/>
      <c r="HR316" s="175"/>
      <c r="HS316" s="175"/>
      <c r="HT316" s="175"/>
      <c r="HU316" s="175"/>
      <c r="HV316" s="175"/>
      <c r="HW316" s="175"/>
      <c r="HX316" s="175"/>
      <c r="HY316" s="175"/>
      <c r="HZ316" s="175"/>
      <c r="IA316" s="175"/>
      <c r="IB316" s="175"/>
      <c r="IC316" s="175"/>
      <c r="ID316" s="175"/>
      <c r="IE316" s="175"/>
      <c r="IF316" s="175"/>
      <c r="IG316" s="175"/>
      <c r="IH316" s="175"/>
      <c r="II316" s="175"/>
      <c r="IJ316" s="175"/>
      <c r="IK316" s="175"/>
      <c r="IL316" s="175"/>
      <c r="IM316" s="175"/>
      <c r="IN316" s="175"/>
      <c r="IO316" s="175"/>
      <c r="IP316" s="175"/>
      <c r="IQ316" s="175"/>
      <c r="IR316" s="175"/>
      <c r="IS316" s="175"/>
      <c r="IT316" s="175"/>
      <c r="IU316" s="175"/>
      <c r="IV316" s="175"/>
      <c r="IW316" s="175"/>
      <c r="IX316" s="175"/>
      <c r="IY316" s="175"/>
      <c r="IZ316" s="175"/>
      <c r="JA316" s="175"/>
      <c r="JB316" s="175"/>
      <c r="JC316" s="175"/>
      <c r="JD316" s="175"/>
      <c r="JE316" s="175"/>
      <c r="JF316" s="175"/>
      <c r="JG316" s="175"/>
      <c r="JH316" s="175"/>
      <c r="JI316" s="175"/>
      <c r="JJ316" s="175"/>
      <c r="JK316" s="175"/>
      <c r="JL316" s="175"/>
      <c r="JM316" s="175"/>
      <c r="JN316" s="175"/>
      <c r="JO316" s="175"/>
      <c r="JP316" s="175"/>
      <c r="JQ316" s="175"/>
      <c r="JR316" s="175"/>
      <c r="JS316" s="175"/>
      <c r="JT316" s="175"/>
      <c r="JU316" s="175"/>
      <c r="JV316" s="175"/>
      <c r="JW316" s="175"/>
      <c r="JX316" s="175"/>
      <c r="JY316" s="175"/>
      <c r="JZ316" s="175"/>
      <c r="KA316" s="175"/>
      <c r="KB316" s="175"/>
      <c r="KC316" s="175"/>
      <c r="KD316" s="175"/>
      <c r="KE316" s="175"/>
      <c r="KF316" s="175"/>
      <c r="KG316" s="175"/>
      <c r="KH316" s="175"/>
      <c r="KI316" s="175"/>
      <c r="KJ316" s="175"/>
      <c r="KK316" s="175"/>
      <c r="KL316" s="175"/>
      <c r="KM316" s="175"/>
      <c r="KN316" s="175"/>
      <c r="KO316" s="175"/>
      <c r="KP316" s="175"/>
      <c r="KQ316" s="175"/>
      <c r="KR316" s="175"/>
      <c r="KS316" s="175"/>
      <c r="KT316" s="175"/>
      <c r="KU316" s="175"/>
    </row>
    <row r="317" spans="1:307" x14ac:dyDescent="0.2">
      <c r="A317" s="172"/>
      <c r="B317" s="172"/>
      <c r="C317" s="172"/>
      <c r="D317" s="172"/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  <c r="AA317" s="172"/>
      <c r="AB317" s="172"/>
      <c r="AC317" s="172"/>
      <c r="AD317" s="172"/>
      <c r="AE317" s="172"/>
      <c r="AF317" s="172"/>
      <c r="AG317" s="172"/>
      <c r="AH317" s="172"/>
      <c r="AI317" s="172"/>
      <c r="AJ317" s="172"/>
      <c r="AK317" s="172"/>
      <c r="AL317" s="172"/>
      <c r="AM317" s="172"/>
      <c r="AN317" s="172"/>
      <c r="AO317" s="172"/>
      <c r="AP317" s="172"/>
      <c r="AQ317" s="172"/>
      <c r="AR317" s="172"/>
      <c r="AS317" s="172"/>
      <c r="AT317" s="172"/>
      <c r="AU317" s="172"/>
      <c r="AV317" s="172"/>
      <c r="AW317" s="172"/>
      <c r="AX317" s="172"/>
      <c r="AY317" s="172"/>
      <c r="AZ317" s="172"/>
      <c r="BA317" s="172"/>
      <c r="BB317" s="172"/>
      <c r="BC317" s="172"/>
      <c r="BD317" s="172"/>
      <c r="BE317" s="172"/>
      <c r="BF317" s="172"/>
      <c r="BG317" s="172"/>
      <c r="BH317" s="172"/>
      <c r="BI317" s="172"/>
      <c r="BJ317" s="172"/>
      <c r="BK317" s="172"/>
      <c r="BL317" s="172"/>
      <c r="BM317" s="172"/>
      <c r="BN317" s="172"/>
      <c r="BO317" s="172"/>
      <c r="BP317" s="172"/>
      <c r="BQ317" s="172"/>
      <c r="BR317" s="172"/>
      <c r="BS317" s="172"/>
      <c r="BT317" s="172"/>
      <c r="BU317" s="172"/>
      <c r="BV317" s="172"/>
      <c r="BW317" s="172"/>
      <c r="BX317" s="175"/>
      <c r="BY317" s="175"/>
      <c r="BZ317" s="175"/>
      <c r="CA317" s="175"/>
      <c r="CB317" s="175"/>
      <c r="CC317" s="175"/>
      <c r="CD317" s="175"/>
      <c r="CE317" s="175"/>
      <c r="CF317" s="175"/>
      <c r="CG317" s="175"/>
      <c r="CH317" s="175"/>
      <c r="CI317" s="175"/>
      <c r="CJ317" s="175"/>
      <c r="CK317" s="175"/>
      <c r="CL317" s="175"/>
      <c r="CM317" s="175"/>
      <c r="CN317" s="175"/>
      <c r="CO317" s="175"/>
      <c r="CP317" s="175"/>
      <c r="CQ317" s="175"/>
      <c r="CR317" s="175"/>
      <c r="CS317" s="175"/>
      <c r="CT317" s="175"/>
      <c r="CU317" s="175"/>
      <c r="CV317" s="175"/>
      <c r="CW317" s="175"/>
      <c r="CX317" s="175"/>
      <c r="CY317" s="175"/>
      <c r="CZ317" s="175"/>
      <c r="DA317" s="175"/>
      <c r="DB317" s="175"/>
      <c r="DC317" s="175"/>
      <c r="DD317" s="175"/>
      <c r="DE317" s="175"/>
      <c r="DF317" s="175"/>
      <c r="DG317" s="175"/>
      <c r="DH317" s="175"/>
      <c r="DI317" s="175"/>
      <c r="DJ317" s="175"/>
      <c r="DK317" s="175"/>
      <c r="DL317" s="175"/>
      <c r="DM317" s="175"/>
      <c r="DN317" s="175"/>
      <c r="DO317" s="175"/>
      <c r="DP317" s="175"/>
      <c r="DQ317" s="175"/>
      <c r="DR317" s="175"/>
      <c r="DS317" s="175"/>
      <c r="DT317" s="175"/>
      <c r="DU317" s="175"/>
      <c r="DV317" s="175"/>
      <c r="DW317" s="175"/>
      <c r="DX317" s="175"/>
      <c r="DY317" s="175"/>
      <c r="DZ317" s="175"/>
      <c r="EA317" s="175"/>
      <c r="EB317" s="175"/>
      <c r="EC317" s="175"/>
      <c r="ED317" s="175"/>
      <c r="EE317" s="175"/>
      <c r="EF317" s="175"/>
      <c r="EG317" s="175"/>
      <c r="EH317" s="175"/>
      <c r="EI317" s="175"/>
      <c r="EJ317" s="175"/>
      <c r="EK317" s="175"/>
      <c r="EL317" s="175"/>
      <c r="EM317" s="175"/>
      <c r="EN317" s="175"/>
      <c r="EO317" s="175"/>
      <c r="EP317" s="175"/>
      <c r="EQ317" s="175"/>
      <c r="ER317" s="175"/>
      <c r="ES317" s="175"/>
      <c r="ET317" s="175"/>
      <c r="EU317" s="175"/>
      <c r="EV317" s="175"/>
      <c r="EW317" s="175"/>
      <c r="EX317" s="175"/>
      <c r="EY317" s="175"/>
      <c r="EZ317" s="175"/>
      <c r="FA317" s="175"/>
      <c r="FB317" s="175"/>
      <c r="FC317" s="175"/>
      <c r="FD317" s="175"/>
      <c r="FE317" s="175"/>
      <c r="FF317" s="175"/>
      <c r="FG317" s="175"/>
      <c r="FH317" s="175"/>
      <c r="FI317" s="175"/>
      <c r="FJ317" s="175"/>
      <c r="FK317" s="175"/>
      <c r="FL317" s="175"/>
      <c r="FM317" s="175"/>
      <c r="FN317" s="175"/>
      <c r="FO317" s="175"/>
      <c r="FP317" s="175"/>
      <c r="FQ317" s="175"/>
      <c r="FR317" s="175"/>
      <c r="FS317" s="175"/>
      <c r="FT317" s="175"/>
      <c r="FU317" s="175"/>
      <c r="FV317" s="175"/>
      <c r="FW317" s="175"/>
      <c r="FX317" s="175"/>
      <c r="FY317" s="175"/>
      <c r="FZ317" s="175"/>
      <c r="GA317" s="175"/>
      <c r="GB317" s="175"/>
      <c r="GC317" s="175"/>
      <c r="GD317" s="175"/>
      <c r="GE317" s="175"/>
      <c r="GF317" s="175"/>
      <c r="GG317" s="175"/>
      <c r="GH317" s="175"/>
      <c r="GI317" s="175"/>
      <c r="GJ317" s="175"/>
      <c r="GK317" s="175"/>
      <c r="GL317" s="175"/>
      <c r="GM317" s="175"/>
      <c r="GN317" s="175"/>
      <c r="GO317" s="175"/>
      <c r="GP317" s="175"/>
      <c r="GQ317" s="175"/>
      <c r="GR317" s="175"/>
      <c r="GS317" s="175"/>
      <c r="GT317" s="175"/>
      <c r="GU317" s="175"/>
      <c r="GV317" s="175"/>
      <c r="GW317" s="175"/>
      <c r="GX317" s="175"/>
      <c r="GY317" s="175"/>
      <c r="GZ317" s="175"/>
      <c r="HA317" s="175"/>
      <c r="HB317" s="175"/>
      <c r="HC317" s="175"/>
      <c r="HD317" s="175"/>
      <c r="HE317" s="175"/>
      <c r="HF317" s="175"/>
      <c r="HG317" s="175"/>
      <c r="HH317" s="175"/>
      <c r="HI317" s="175"/>
      <c r="HJ317" s="175"/>
      <c r="HK317" s="175"/>
      <c r="HL317" s="175"/>
      <c r="HM317" s="175"/>
      <c r="HN317" s="175"/>
      <c r="HO317" s="175"/>
      <c r="HP317" s="175"/>
      <c r="HQ317" s="175"/>
      <c r="HR317" s="175"/>
      <c r="HS317" s="175"/>
      <c r="HT317" s="175"/>
      <c r="HU317" s="175"/>
      <c r="HV317" s="175"/>
      <c r="HW317" s="175"/>
      <c r="HX317" s="175"/>
      <c r="HY317" s="175"/>
      <c r="HZ317" s="175"/>
      <c r="IA317" s="175"/>
      <c r="IB317" s="175"/>
      <c r="IC317" s="175"/>
      <c r="ID317" s="175"/>
      <c r="IE317" s="175"/>
      <c r="IF317" s="175"/>
      <c r="IG317" s="175"/>
      <c r="IH317" s="175"/>
      <c r="II317" s="175"/>
      <c r="IJ317" s="175"/>
      <c r="IK317" s="175"/>
      <c r="IL317" s="175"/>
      <c r="IM317" s="175"/>
      <c r="IN317" s="175"/>
      <c r="IO317" s="175"/>
      <c r="IP317" s="175"/>
      <c r="IQ317" s="175"/>
      <c r="IR317" s="175"/>
      <c r="IS317" s="175"/>
      <c r="IT317" s="175"/>
      <c r="IU317" s="175"/>
      <c r="IV317" s="175"/>
      <c r="IW317" s="175"/>
      <c r="IX317" s="175"/>
      <c r="IY317" s="175"/>
      <c r="IZ317" s="175"/>
      <c r="JA317" s="175"/>
      <c r="JB317" s="175"/>
      <c r="JC317" s="175"/>
      <c r="JD317" s="175"/>
      <c r="JE317" s="175"/>
      <c r="JF317" s="175"/>
      <c r="JG317" s="175"/>
      <c r="JH317" s="175"/>
      <c r="JI317" s="175"/>
      <c r="JJ317" s="175"/>
      <c r="JK317" s="175"/>
      <c r="JL317" s="175"/>
      <c r="JM317" s="175"/>
      <c r="JN317" s="175"/>
      <c r="JO317" s="175"/>
      <c r="JP317" s="175"/>
      <c r="JQ317" s="175"/>
      <c r="JR317" s="175"/>
      <c r="JS317" s="175"/>
      <c r="JT317" s="175"/>
      <c r="JU317" s="175"/>
      <c r="JV317" s="175"/>
      <c r="JW317" s="175"/>
      <c r="JX317" s="175"/>
      <c r="JY317" s="175"/>
      <c r="JZ317" s="175"/>
      <c r="KA317" s="175"/>
      <c r="KB317" s="175"/>
      <c r="KC317" s="175"/>
      <c r="KD317" s="175"/>
      <c r="KE317" s="175"/>
      <c r="KF317" s="175"/>
      <c r="KG317" s="175"/>
      <c r="KH317" s="175"/>
      <c r="KI317" s="175"/>
      <c r="KJ317" s="175"/>
      <c r="KK317" s="175"/>
      <c r="KL317" s="175"/>
      <c r="KM317" s="175"/>
      <c r="KN317" s="175"/>
      <c r="KO317" s="175"/>
      <c r="KP317" s="175"/>
      <c r="KQ317" s="175"/>
      <c r="KR317" s="175"/>
      <c r="KS317" s="175"/>
      <c r="KT317" s="175"/>
      <c r="KU317" s="175"/>
    </row>
    <row r="318" spans="1:307" x14ac:dyDescent="0.2">
      <c r="A318" s="172"/>
      <c r="B318" s="172"/>
      <c r="C318" s="172"/>
      <c r="D318" s="17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72"/>
      <c r="AB318" s="172"/>
      <c r="AC318" s="172"/>
      <c r="AD318" s="172"/>
      <c r="AE318" s="172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  <c r="AP318" s="172"/>
      <c r="AQ318" s="172"/>
      <c r="AR318" s="172"/>
      <c r="AS318" s="172"/>
      <c r="AT318" s="172"/>
      <c r="AU318" s="172"/>
      <c r="AV318" s="172"/>
      <c r="AW318" s="172"/>
      <c r="AX318" s="172"/>
      <c r="AY318" s="172"/>
      <c r="AZ318" s="172"/>
      <c r="BA318" s="172"/>
      <c r="BB318" s="172"/>
      <c r="BC318" s="172"/>
      <c r="BD318" s="172"/>
      <c r="BE318" s="172"/>
      <c r="BF318" s="172"/>
      <c r="BG318" s="172"/>
      <c r="BH318" s="172"/>
      <c r="BI318" s="172"/>
      <c r="BJ318" s="172"/>
      <c r="BK318" s="172"/>
      <c r="BL318" s="172"/>
      <c r="BM318" s="172"/>
      <c r="BN318" s="172"/>
      <c r="BO318" s="172"/>
      <c r="BP318" s="172"/>
      <c r="BQ318" s="172"/>
      <c r="BR318" s="172"/>
      <c r="BS318" s="172"/>
      <c r="BT318" s="172"/>
      <c r="BU318" s="172"/>
      <c r="BV318" s="172"/>
      <c r="BW318" s="172"/>
      <c r="BX318" s="175"/>
      <c r="BY318" s="175"/>
      <c r="BZ318" s="175"/>
      <c r="CA318" s="175"/>
      <c r="CB318" s="175"/>
      <c r="CC318" s="175"/>
      <c r="CD318" s="175"/>
      <c r="CE318" s="175"/>
      <c r="CF318" s="175"/>
      <c r="CG318" s="175"/>
      <c r="CH318" s="175"/>
      <c r="CI318" s="175"/>
      <c r="CJ318" s="175"/>
      <c r="CK318" s="175"/>
      <c r="CL318" s="175"/>
      <c r="CM318" s="175"/>
      <c r="CN318" s="175"/>
      <c r="CO318" s="175"/>
      <c r="CP318" s="175"/>
      <c r="CQ318" s="175"/>
      <c r="CR318" s="175"/>
      <c r="CS318" s="175"/>
      <c r="CT318" s="175"/>
      <c r="CU318" s="175"/>
      <c r="CV318" s="175"/>
      <c r="CW318" s="175"/>
      <c r="CX318" s="175"/>
      <c r="CY318" s="175"/>
      <c r="CZ318" s="175"/>
      <c r="DA318" s="175"/>
      <c r="DB318" s="175"/>
      <c r="DC318" s="175"/>
      <c r="DD318" s="175"/>
      <c r="DE318" s="175"/>
      <c r="DF318" s="175"/>
      <c r="DG318" s="175"/>
      <c r="DH318" s="175"/>
      <c r="DI318" s="175"/>
      <c r="DJ318" s="175"/>
      <c r="DK318" s="175"/>
      <c r="DL318" s="175"/>
      <c r="DM318" s="175"/>
      <c r="DN318" s="175"/>
      <c r="DO318" s="175"/>
      <c r="DP318" s="175"/>
      <c r="DQ318" s="175"/>
      <c r="DR318" s="175"/>
      <c r="DS318" s="175"/>
      <c r="DT318" s="175"/>
      <c r="DU318" s="175"/>
      <c r="DV318" s="175"/>
      <c r="DW318" s="175"/>
      <c r="DX318" s="175"/>
      <c r="DY318" s="175"/>
      <c r="DZ318" s="175"/>
      <c r="EA318" s="175"/>
      <c r="EB318" s="175"/>
      <c r="EC318" s="175"/>
      <c r="ED318" s="175"/>
      <c r="EE318" s="175"/>
      <c r="EF318" s="175"/>
      <c r="EG318" s="175"/>
      <c r="EH318" s="175"/>
      <c r="EI318" s="175"/>
      <c r="EJ318" s="175"/>
      <c r="EK318" s="175"/>
      <c r="EL318" s="175"/>
      <c r="EM318" s="175"/>
      <c r="EN318" s="175"/>
      <c r="EO318" s="175"/>
      <c r="EP318" s="175"/>
      <c r="EQ318" s="175"/>
      <c r="ER318" s="175"/>
      <c r="ES318" s="175"/>
      <c r="ET318" s="175"/>
      <c r="EU318" s="175"/>
      <c r="EV318" s="175"/>
      <c r="EW318" s="175"/>
      <c r="EX318" s="175"/>
      <c r="EY318" s="175"/>
      <c r="EZ318" s="175"/>
      <c r="FA318" s="175"/>
      <c r="FB318" s="175"/>
      <c r="FC318" s="175"/>
      <c r="FD318" s="175"/>
      <c r="FE318" s="175"/>
      <c r="FF318" s="175"/>
      <c r="FG318" s="175"/>
      <c r="FH318" s="175"/>
      <c r="FI318" s="175"/>
      <c r="FJ318" s="175"/>
      <c r="FK318" s="175"/>
      <c r="FL318" s="175"/>
      <c r="FM318" s="175"/>
      <c r="FN318" s="175"/>
      <c r="FO318" s="175"/>
      <c r="FP318" s="175"/>
      <c r="FQ318" s="175"/>
      <c r="FR318" s="175"/>
      <c r="FS318" s="175"/>
      <c r="FT318" s="175"/>
      <c r="FU318" s="175"/>
      <c r="FV318" s="175"/>
      <c r="FW318" s="175"/>
      <c r="FX318" s="175"/>
      <c r="FY318" s="175"/>
      <c r="FZ318" s="175"/>
      <c r="GA318" s="175"/>
      <c r="GB318" s="175"/>
      <c r="GC318" s="175"/>
      <c r="GD318" s="175"/>
      <c r="GE318" s="175"/>
      <c r="GF318" s="175"/>
      <c r="GG318" s="175"/>
      <c r="GH318" s="175"/>
      <c r="GI318" s="175"/>
      <c r="GJ318" s="175"/>
      <c r="GK318" s="175"/>
      <c r="GL318" s="175"/>
      <c r="GM318" s="175"/>
      <c r="GN318" s="175"/>
      <c r="GO318" s="175"/>
      <c r="GP318" s="175"/>
      <c r="GQ318" s="175"/>
      <c r="GR318" s="175"/>
      <c r="GS318" s="175"/>
      <c r="GT318" s="175"/>
      <c r="GU318" s="175"/>
      <c r="GV318" s="175"/>
      <c r="GW318" s="175"/>
      <c r="GX318" s="175"/>
      <c r="GY318" s="175"/>
      <c r="GZ318" s="175"/>
      <c r="HA318" s="175"/>
      <c r="HB318" s="175"/>
      <c r="HC318" s="175"/>
      <c r="HD318" s="175"/>
      <c r="HE318" s="175"/>
      <c r="HF318" s="175"/>
      <c r="HG318" s="175"/>
      <c r="HH318" s="175"/>
      <c r="HI318" s="175"/>
      <c r="HJ318" s="175"/>
      <c r="HK318" s="175"/>
      <c r="HL318" s="175"/>
      <c r="HM318" s="175"/>
      <c r="HN318" s="175"/>
      <c r="HO318" s="175"/>
      <c r="HP318" s="175"/>
      <c r="HQ318" s="175"/>
      <c r="HR318" s="175"/>
      <c r="HS318" s="175"/>
      <c r="HT318" s="175"/>
      <c r="HU318" s="175"/>
      <c r="HV318" s="175"/>
      <c r="HW318" s="175"/>
      <c r="HX318" s="175"/>
      <c r="HY318" s="175"/>
      <c r="HZ318" s="175"/>
      <c r="IA318" s="175"/>
      <c r="IB318" s="175"/>
      <c r="IC318" s="175"/>
      <c r="ID318" s="175"/>
      <c r="IE318" s="175"/>
      <c r="IF318" s="175"/>
      <c r="IG318" s="175"/>
      <c r="IH318" s="175"/>
      <c r="II318" s="175"/>
      <c r="IJ318" s="175"/>
      <c r="IK318" s="175"/>
      <c r="IL318" s="175"/>
      <c r="IM318" s="175"/>
      <c r="IN318" s="175"/>
      <c r="IO318" s="175"/>
      <c r="IP318" s="175"/>
      <c r="IQ318" s="175"/>
      <c r="IR318" s="175"/>
      <c r="IS318" s="175"/>
      <c r="IT318" s="175"/>
      <c r="IU318" s="175"/>
      <c r="IV318" s="175"/>
      <c r="IW318" s="175"/>
      <c r="IX318" s="175"/>
      <c r="IY318" s="175"/>
      <c r="IZ318" s="175"/>
      <c r="JA318" s="175"/>
      <c r="JB318" s="175"/>
      <c r="JC318" s="175"/>
      <c r="JD318" s="175"/>
      <c r="JE318" s="175"/>
      <c r="JF318" s="175"/>
      <c r="JG318" s="175"/>
      <c r="JH318" s="175"/>
      <c r="JI318" s="175"/>
      <c r="JJ318" s="175"/>
      <c r="JK318" s="175"/>
      <c r="JL318" s="175"/>
      <c r="JM318" s="175"/>
      <c r="JN318" s="175"/>
      <c r="JO318" s="175"/>
      <c r="JP318" s="175"/>
      <c r="JQ318" s="175"/>
      <c r="JR318" s="175"/>
      <c r="JS318" s="175"/>
      <c r="JT318" s="175"/>
      <c r="JU318" s="175"/>
      <c r="JV318" s="175"/>
      <c r="JW318" s="175"/>
      <c r="JX318" s="175"/>
      <c r="JY318" s="175"/>
      <c r="JZ318" s="175"/>
      <c r="KA318" s="175"/>
      <c r="KB318" s="175"/>
      <c r="KC318" s="175"/>
      <c r="KD318" s="175"/>
      <c r="KE318" s="175"/>
      <c r="KF318" s="175"/>
      <c r="KG318" s="175"/>
      <c r="KH318" s="175"/>
      <c r="KI318" s="175"/>
      <c r="KJ318" s="175"/>
      <c r="KK318" s="175"/>
      <c r="KL318" s="175"/>
      <c r="KM318" s="175"/>
      <c r="KN318" s="175"/>
      <c r="KO318" s="175"/>
      <c r="KP318" s="175"/>
      <c r="KQ318" s="175"/>
      <c r="KR318" s="175"/>
      <c r="KS318" s="175"/>
      <c r="KT318" s="175"/>
      <c r="KU318" s="175"/>
    </row>
    <row r="319" spans="1:307" x14ac:dyDescent="0.2">
      <c r="A319" s="172"/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72"/>
      <c r="AC319" s="172"/>
      <c r="AD319" s="172"/>
      <c r="AE319" s="172"/>
      <c r="AF319" s="172"/>
      <c r="AG319" s="172"/>
      <c r="AH319" s="172"/>
      <c r="AI319" s="172"/>
      <c r="AJ319" s="172"/>
      <c r="AK319" s="172"/>
      <c r="AL319" s="172"/>
      <c r="AM319" s="172"/>
      <c r="AN319" s="172"/>
      <c r="AO319" s="172"/>
      <c r="AP319" s="172"/>
      <c r="AQ319" s="172"/>
      <c r="AR319" s="172"/>
      <c r="AS319" s="172"/>
      <c r="AT319" s="172"/>
      <c r="AU319" s="172"/>
      <c r="AV319" s="172"/>
      <c r="AW319" s="172"/>
      <c r="AX319" s="172"/>
      <c r="AY319" s="172"/>
      <c r="AZ319" s="172"/>
      <c r="BA319" s="172"/>
      <c r="BB319" s="172"/>
      <c r="BC319" s="172"/>
      <c r="BD319" s="172"/>
      <c r="BE319" s="172"/>
      <c r="BF319" s="172"/>
      <c r="BG319" s="172"/>
      <c r="BH319" s="172"/>
      <c r="BI319" s="172"/>
      <c r="BJ319" s="172"/>
      <c r="BK319" s="172"/>
      <c r="BL319" s="172"/>
      <c r="BM319" s="172"/>
      <c r="BN319" s="172"/>
      <c r="BO319" s="172"/>
      <c r="BP319" s="172"/>
      <c r="BQ319" s="172"/>
      <c r="BR319" s="172"/>
      <c r="BS319" s="172"/>
      <c r="BT319" s="172"/>
      <c r="BU319" s="172"/>
      <c r="BV319" s="172"/>
      <c r="BW319" s="172"/>
      <c r="BX319" s="175"/>
      <c r="BY319" s="175"/>
      <c r="BZ319" s="175"/>
      <c r="CA319" s="175"/>
      <c r="CB319" s="175"/>
      <c r="CC319" s="175"/>
      <c r="CD319" s="175"/>
      <c r="CE319" s="175"/>
      <c r="CF319" s="175"/>
      <c r="CG319" s="175"/>
      <c r="CH319" s="175"/>
      <c r="CI319" s="175"/>
      <c r="CJ319" s="175"/>
      <c r="CK319" s="175"/>
      <c r="CL319" s="175"/>
      <c r="CM319" s="175"/>
      <c r="CN319" s="175"/>
      <c r="CO319" s="175"/>
      <c r="CP319" s="175"/>
      <c r="CQ319" s="175"/>
      <c r="CR319" s="175"/>
      <c r="CS319" s="175"/>
      <c r="CT319" s="175"/>
      <c r="CU319" s="175"/>
      <c r="CV319" s="175"/>
      <c r="CW319" s="175"/>
      <c r="CX319" s="175"/>
      <c r="CY319" s="175"/>
      <c r="CZ319" s="175"/>
      <c r="DA319" s="175"/>
      <c r="DB319" s="175"/>
      <c r="DC319" s="175"/>
      <c r="DD319" s="175"/>
      <c r="DE319" s="175"/>
      <c r="DF319" s="175"/>
      <c r="DG319" s="175"/>
      <c r="DH319" s="175"/>
      <c r="DI319" s="175"/>
      <c r="DJ319" s="175"/>
      <c r="DK319" s="175"/>
      <c r="DL319" s="175"/>
      <c r="DM319" s="175"/>
      <c r="DN319" s="175"/>
      <c r="DO319" s="175"/>
      <c r="DP319" s="175"/>
      <c r="DQ319" s="175"/>
      <c r="DR319" s="175"/>
      <c r="DS319" s="175"/>
      <c r="DT319" s="175"/>
      <c r="DU319" s="175"/>
      <c r="DV319" s="175"/>
      <c r="DW319" s="175"/>
      <c r="DX319" s="175"/>
      <c r="DY319" s="175"/>
      <c r="DZ319" s="175"/>
      <c r="EA319" s="175"/>
      <c r="EB319" s="175"/>
      <c r="EC319" s="175"/>
      <c r="ED319" s="175"/>
      <c r="EE319" s="175"/>
      <c r="EF319" s="175"/>
      <c r="EG319" s="175"/>
      <c r="EH319" s="175"/>
      <c r="EI319" s="175"/>
      <c r="EJ319" s="175"/>
      <c r="EK319" s="175"/>
      <c r="EL319" s="175"/>
      <c r="EM319" s="175"/>
      <c r="EN319" s="175"/>
      <c r="EO319" s="175"/>
      <c r="EP319" s="175"/>
      <c r="EQ319" s="175"/>
      <c r="ER319" s="175"/>
      <c r="ES319" s="175"/>
      <c r="ET319" s="175"/>
      <c r="EU319" s="175"/>
      <c r="EV319" s="175"/>
      <c r="EW319" s="175"/>
      <c r="EX319" s="175"/>
      <c r="EY319" s="175"/>
      <c r="EZ319" s="175"/>
      <c r="FA319" s="175"/>
      <c r="FB319" s="175"/>
      <c r="FC319" s="175"/>
      <c r="FD319" s="175"/>
      <c r="FE319" s="175"/>
      <c r="FF319" s="175"/>
      <c r="FG319" s="175"/>
      <c r="FH319" s="175"/>
      <c r="FI319" s="175"/>
      <c r="FJ319" s="175"/>
      <c r="FK319" s="175"/>
      <c r="FL319" s="175"/>
      <c r="FM319" s="175"/>
      <c r="FN319" s="175"/>
      <c r="FO319" s="175"/>
      <c r="FP319" s="175"/>
      <c r="FQ319" s="175"/>
      <c r="FR319" s="175"/>
      <c r="FS319" s="175"/>
      <c r="FT319" s="175"/>
      <c r="FU319" s="175"/>
      <c r="FV319" s="175"/>
      <c r="FW319" s="175"/>
      <c r="FX319" s="175"/>
      <c r="FY319" s="175"/>
      <c r="FZ319" s="175"/>
      <c r="GA319" s="175"/>
      <c r="GB319" s="175"/>
      <c r="GC319" s="175"/>
      <c r="GD319" s="175"/>
      <c r="GE319" s="175"/>
      <c r="GF319" s="175"/>
      <c r="GG319" s="175"/>
      <c r="GH319" s="175"/>
      <c r="GI319" s="175"/>
      <c r="GJ319" s="175"/>
      <c r="GK319" s="175"/>
      <c r="GL319" s="175"/>
      <c r="GM319" s="175"/>
      <c r="GN319" s="175"/>
      <c r="GO319" s="175"/>
      <c r="GP319" s="175"/>
      <c r="GQ319" s="175"/>
      <c r="GR319" s="175"/>
      <c r="GS319" s="175"/>
      <c r="GT319" s="175"/>
      <c r="GU319" s="175"/>
      <c r="GV319" s="175"/>
      <c r="GW319" s="175"/>
      <c r="GX319" s="175"/>
      <c r="GY319" s="175"/>
      <c r="GZ319" s="175"/>
      <c r="HA319" s="175"/>
      <c r="HB319" s="175"/>
      <c r="HC319" s="175"/>
      <c r="HD319" s="175"/>
      <c r="HE319" s="175"/>
      <c r="HF319" s="175"/>
      <c r="HG319" s="175"/>
      <c r="HH319" s="175"/>
      <c r="HI319" s="175"/>
      <c r="HJ319" s="175"/>
      <c r="HK319" s="175"/>
      <c r="HL319" s="175"/>
      <c r="HM319" s="175"/>
      <c r="HN319" s="175"/>
      <c r="HO319" s="175"/>
      <c r="HP319" s="175"/>
      <c r="HQ319" s="175"/>
      <c r="HR319" s="175"/>
      <c r="HS319" s="175"/>
      <c r="HT319" s="175"/>
      <c r="HU319" s="175"/>
      <c r="HV319" s="175"/>
      <c r="HW319" s="175"/>
      <c r="HX319" s="175"/>
      <c r="HY319" s="175"/>
      <c r="HZ319" s="175"/>
      <c r="IA319" s="175"/>
      <c r="IB319" s="175"/>
      <c r="IC319" s="175"/>
      <c r="ID319" s="175"/>
      <c r="IE319" s="175"/>
      <c r="IF319" s="175"/>
      <c r="IG319" s="175"/>
      <c r="IH319" s="175"/>
      <c r="II319" s="175"/>
      <c r="IJ319" s="175"/>
      <c r="IK319" s="175"/>
      <c r="IL319" s="175"/>
      <c r="IM319" s="175"/>
      <c r="IN319" s="175"/>
      <c r="IO319" s="175"/>
      <c r="IP319" s="175"/>
      <c r="IQ319" s="175"/>
      <c r="IR319" s="175"/>
      <c r="IS319" s="175"/>
      <c r="IT319" s="175"/>
      <c r="IU319" s="175"/>
      <c r="IV319" s="175"/>
      <c r="IW319" s="175"/>
      <c r="IX319" s="175"/>
      <c r="IY319" s="175"/>
      <c r="IZ319" s="175"/>
      <c r="JA319" s="175"/>
      <c r="JB319" s="175"/>
      <c r="JC319" s="175"/>
      <c r="JD319" s="175"/>
      <c r="JE319" s="175"/>
      <c r="JF319" s="175"/>
      <c r="JG319" s="175"/>
      <c r="JH319" s="175"/>
      <c r="JI319" s="175"/>
      <c r="JJ319" s="175"/>
      <c r="JK319" s="175"/>
      <c r="JL319" s="175"/>
      <c r="JM319" s="175"/>
      <c r="JN319" s="175"/>
      <c r="JO319" s="175"/>
      <c r="JP319" s="175"/>
      <c r="JQ319" s="175"/>
      <c r="JR319" s="175"/>
      <c r="JS319" s="175"/>
      <c r="JT319" s="175"/>
      <c r="JU319" s="175"/>
      <c r="JV319" s="175"/>
      <c r="JW319" s="175"/>
      <c r="JX319" s="175"/>
      <c r="JY319" s="175"/>
      <c r="JZ319" s="175"/>
      <c r="KA319" s="175"/>
      <c r="KB319" s="175"/>
      <c r="KC319" s="175"/>
      <c r="KD319" s="175"/>
      <c r="KE319" s="175"/>
      <c r="KF319" s="175"/>
      <c r="KG319" s="175"/>
      <c r="KH319" s="175"/>
      <c r="KI319" s="175"/>
      <c r="KJ319" s="175"/>
      <c r="KK319" s="175"/>
      <c r="KL319" s="175"/>
      <c r="KM319" s="175"/>
      <c r="KN319" s="175"/>
      <c r="KO319" s="175"/>
      <c r="KP319" s="175"/>
      <c r="KQ319" s="175"/>
      <c r="KR319" s="175"/>
      <c r="KS319" s="175"/>
      <c r="KT319" s="175"/>
      <c r="KU319" s="175"/>
    </row>
    <row r="320" spans="1:307" x14ac:dyDescent="0.2">
      <c r="A320" s="172"/>
      <c r="B320" s="172"/>
      <c r="C320" s="172"/>
      <c r="D320" s="172"/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  <c r="AP320" s="172"/>
      <c r="AQ320" s="172"/>
      <c r="AR320" s="172"/>
      <c r="AS320" s="172"/>
      <c r="AT320" s="172"/>
      <c r="AU320" s="172"/>
      <c r="AV320" s="172"/>
      <c r="AW320" s="172"/>
      <c r="AX320" s="172"/>
      <c r="AY320" s="172"/>
      <c r="AZ320" s="172"/>
      <c r="BA320" s="172"/>
      <c r="BB320" s="172"/>
      <c r="BC320" s="172"/>
      <c r="BD320" s="172"/>
      <c r="BE320" s="172"/>
      <c r="BF320" s="172"/>
      <c r="BG320" s="172"/>
      <c r="BH320" s="172"/>
      <c r="BI320" s="172"/>
      <c r="BJ320" s="172"/>
      <c r="BK320" s="172"/>
      <c r="BL320" s="172"/>
      <c r="BM320" s="172"/>
      <c r="BN320" s="172"/>
      <c r="BO320" s="172"/>
      <c r="BP320" s="172"/>
      <c r="BQ320" s="172"/>
      <c r="BR320" s="172"/>
      <c r="BS320" s="172"/>
      <c r="BT320" s="172"/>
      <c r="BU320" s="172"/>
      <c r="BV320" s="172"/>
      <c r="BW320" s="172"/>
      <c r="BX320" s="175"/>
      <c r="BY320" s="175"/>
      <c r="BZ320" s="175"/>
      <c r="CA320" s="175"/>
      <c r="CB320" s="175"/>
      <c r="CC320" s="175"/>
      <c r="CD320" s="175"/>
      <c r="CE320" s="175"/>
      <c r="CF320" s="175"/>
      <c r="CG320" s="175"/>
      <c r="CH320" s="175"/>
      <c r="CI320" s="175"/>
      <c r="CJ320" s="175"/>
      <c r="CK320" s="175"/>
      <c r="CL320" s="175"/>
      <c r="CM320" s="175"/>
      <c r="CN320" s="175"/>
      <c r="CO320" s="175"/>
      <c r="CP320" s="175"/>
      <c r="CQ320" s="175"/>
      <c r="CR320" s="175"/>
      <c r="CS320" s="175"/>
      <c r="CT320" s="175"/>
      <c r="CU320" s="175"/>
      <c r="CV320" s="175"/>
      <c r="CW320" s="175"/>
      <c r="CX320" s="175"/>
      <c r="CY320" s="175"/>
      <c r="CZ320" s="175"/>
      <c r="DA320" s="175"/>
      <c r="DB320" s="175"/>
      <c r="DC320" s="175"/>
      <c r="DD320" s="175"/>
      <c r="DE320" s="175"/>
      <c r="DF320" s="175"/>
      <c r="DG320" s="175"/>
      <c r="DH320" s="175"/>
      <c r="DI320" s="175"/>
      <c r="DJ320" s="175"/>
      <c r="DK320" s="175"/>
      <c r="DL320" s="175"/>
      <c r="DM320" s="175"/>
      <c r="DN320" s="175"/>
      <c r="DO320" s="175"/>
      <c r="DP320" s="175"/>
      <c r="DQ320" s="175"/>
      <c r="DR320" s="175"/>
      <c r="DS320" s="175"/>
      <c r="DT320" s="175"/>
      <c r="DU320" s="175"/>
      <c r="DV320" s="175"/>
      <c r="DW320" s="175"/>
      <c r="DX320" s="175"/>
      <c r="DY320" s="175"/>
      <c r="DZ320" s="175"/>
      <c r="EA320" s="175"/>
      <c r="EB320" s="175"/>
      <c r="EC320" s="175"/>
      <c r="ED320" s="175"/>
      <c r="EE320" s="175"/>
      <c r="EF320" s="175"/>
      <c r="EG320" s="175"/>
      <c r="EH320" s="175"/>
      <c r="EI320" s="175"/>
      <c r="EJ320" s="175"/>
      <c r="EK320" s="175"/>
      <c r="EL320" s="175"/>
      <c r="EM320" s="175"/>
      <c r="EN320" s="175"/>
      <c r="EO320" s="175"/>
      <c r="EP320" s="175"/>
      <c r="EQ320" s="175"/>
      <c r="ER320" s="175"/>
      <c r="ES320" s="175"/>
      <c r="ET320" s="175"/>
      <c r="EU320" s="175"/>
      <c r="EV320" s="175"/>
      <c r="EW320" s="175"/>
      <c r="EX320" s="175"/>
      <c r="EY320" s="175"/>
      <c r="EZ320" s="175"/>
      <c r="FA320" s="175"/>
      <c r="FB320" s="175"/>
      <c r="FC320" s="175"/>
      <c r="FD320" s="175"/>
      <c r="FE320" s="175"/>
      <c r="FF320" s="175"/>
      <c r="FG320" s="175"/>
      <c r="FH320" s="175"/>
      <c r="FI320" s="175"/>
      <c r="FJ320" s="175"/>
      <c r="FK320" s="175"/>
      <c r="FL320" s="175"/>
      <c r="FM320" s="175"/>
      <c r="FN320" s="175"/>
      <c r="FO320" s="175"/>
      <c r="FP320" s="175"/>
      <c r="FQ320" s="175"/>
      <c r="FR320" s="175"/>
      <c r="FS320" s="175"/>
      <c r="FT320" s="175"/>
      <c r="FU320" s="175"/>
      <c r="FV320" s="175"/>
      <c r="FW320" s="175"/>
      <c r="FX320" s="175"/>
      <c r="FY320" s="175"/>
      <c r="FZ320" s="175"/>
      <c r="GA320" s="175"/>
      <c r="GB320" s="175"/>
      <c r="GC320" s="175"/>
      <c r="GD320" s="175"/>
      <c r="GE320" s="175"/>
      <c r="GF320" s="175"/>
      <c r="GG320" s="175"/>
      <c r="GH320" s="175"/>
      <c r="GI320" s="175"/>
      <c r="GJ320" s="175"/>
      <c r="GK320" s="175"/>
      <c r="GL320" s="175"/>
      <c r="GM320" s="175"/>
      <c r="GN320" s="175"/>
      <c r="GO320" s="175"/>
      <c r="GP320" s="175"/>
      <c r="GQ320" s="175"/>
      <c r="GR320" s="175"/>
      <c r="GS320" s="175"/>
      <c r="GT320" s="175"/>
      <c r="GU320" s="175"/>
      <c r="GV320" s="175"/>
      <c r="GW320" s="175"/>
      <c r="GX320" s="175"/>
      <c r="GY320" s="175"/>
      <c r="GZ320" s="175"/>
      <c r="HA320" s="175"/>
      <c r="HB320" s="175"/>
      <c r="HC320" s="175"/>
      <c r="HD320" s="175"/>
      <c r="HE320" s="175"/>
      <c r="HF320" s="175"/>
      <c r="HG320" s="175"/>
      <c r="HH320" s="175"/>
      <c r="HI320" s="175"/>
      <c r="HJ320" s="175"/>
      <c r="HK320" s="175"/>
      <c r="HL320" s="175"/>
      <c r="HM320" s="175"/>
      <c r="HN320" s="175"/>
      <c r="HO320" s="175"/>
      <c r="HP320" s="175"/>
      <c r="HQ320" s="175"/>
      <c r="HR320" s="175"/>
      <c r="HS320" s="175"/>
      <c r="HT320" s="175"/>
      <c r="HU320" s="175"/>
      <c r="HV320" s="175"/>
      <c r="HW320" s="175"/>
      <c r="HX320" s="175"/>
      <c r="HY320" s="175"/>
      <c r="HZ320" s="175"/>
      <c r="IA320" s="175"/>
      <c r="IB320" s="175"/>
      <c r="IC320" s="175"/>
      <c r="ID320" s="175"/>
      <c r="IE320" s="175"/>
      <c r="IF320" s="175"/>
      <c r="IG320" s="175"/>
      <c r="IH320" s="175"/>
      <c r="II320" s="175"/>
      <c r="IJ320" s="175"/>
      <c r="IK320" s="175"/>
      <c r="IL320" s="175"/>
      <c r="IM320" s="175"/>
      <c r="IN320" s="175"/>
      <c r="IO320" s="175"/>
      <c r="IP320" s="175"/>
      <c r="IQ320" s="175"/>
      <c r="IR320" s="175"/>
      <c r="IS320" s="175"/>
      <c r="IT320" s="175"/>
      <c r="IU320" s="175"/>
      <c r="IV320" s="175"/>
      <c r="IW320" s="175"/>
      <c r="IX320" s="175"/>
      <c r="IY320" s="175"/>
      <c r="IZ320" s="175"/>
      <c r="JA320" s="175"/>
      <c r="JB320" s="175"/>
      <c r="JC320" s="175"/>
      <c r="JD320" s="175"/>
      <c r="JE320" s="175"/>
      <c r="JF320" s="175"/>
      <c r="JG320" s="175"/>
      <c r="JH320" s="175"/>
      <c r="JI320" s="175"/>
      <c r="JJ320" s="175"/>
      <c r="JK320" s="175"/>
      <c r="JL320" s="175"/>
      <c r="JM320" s="175"/>
      <c r="JN320" s="175"/>
      <c r="JO320" s="175"/>
      <c r="JP320" s="175"/>
      <c r="JQ320" s="175"/>
      <c r="JR320" s="175"/>
      <c r="JS320" s="175"/>
      <c r="JT320" s="175"/>
      <c r="JU320" s="175"/>
      <c r="JV320" s="175"/>
      <c r="JW320" s="175"/>
      <c r="JX320" s="175"/>
      <c r="JY320" s="175"/>
      <c r="JZ320" s="175"/>
      <c r="KA320" s="175"/>
      <c r="KB320" s="175"/>
      <c r="KC320" s="175"/>
      <c r="KD320" s="175"/>
      <c r="KE320" s="175"/>
      <c r="KF320" s="175"/>
      <c r="KG320" s="175"/>
      <c r="KH320" s="175"/>
      <c r="KI320" s="175"/>
      <c r="KJ320" s="175"/>
      <c r="KK320" s="175"/>
      <c r="KL320" s="175"/>
      <c r="KM320" s="175"/>
      <c r="KN320" s="175"/>
      <c r="KO320" s="175"/>
      <c r="KP320" s="175"/>
      <c r="KQ320" s="175"/>
      <c r="KR320" s="175"/>
      <c r="KS320" s="175"/>
      <c r="KT320" s="175"/>
      <c r="KU320" s="175"/>
    </row>
    <row r="321" spans="1:307" x14ac:dyDescent="0.2">
      <c r="A321" s="172"/>
      <c r="B321" s="172"/>
      <c r="C321" s="172"/>
      <c r="D321" s="172"/>
      <c r="E321" s="172"/>
      <c r="F321" s="172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  <c r="AA321" s="172"/>
      <c r="AB321" s="172"/>
      <c r="AC321" s="172"/>
      <c r="AD321" s="172"/>
      <c r="AE321" s="172"/>
      <c r="AF321" s="172"/>
      <c r="AG321" s="172"/>
      <c r="AH321" s="172"/>
      <c r="AI321" s="172"/>
      <c r="AJ321" s="172"/>
      <c r="AK321" s="172"/>
      <c r="AL321" s="172"/>
      <c r="AM321" s="172"/>
      <c r="AN321" s="172"/>
      <c r="AO321" s="172"/>
      <c r="AP321" s="172"/>
      <c r="AQ321" s="172"/>
      <c r="AR321" s="172"/>
      <c r="AS321" s="172"/>
      <c r="AT321" s="172"/>
      <c r="AU321" s="172"/>
      <c r="AV321" s="172"/>
      <c r="AW321" s="172"/>
      <c r="AX321" s="172"/>
      <c r="AY321" s="172"/>
      <c r="AZ321" s="172"/>
      <c r="BA321" s="172"/>
      <c r="BB321" s="172"/>
      <c r="BC321" s="172"/>
      <c r="BD321" s="172"/>
      <c r="BE321" s="172"/>
      <c r="BF321" s="172"/>
      <c r="BG321" s="172"/>
      <c r="BH321" s="172"/>
      <c r="BI321" s="172"/>
      <c r="BJ321" s="172"/>
      <c r="BK321" s="172"/>
      <c r="BL321" s="172"/>
      <c r="BM321" s="172"/>
      <c r="BN321" s="172"/>
      <c r="BO321" s="172"/>
      <c r="BP321" s="172"/>
      <c r="BQ321" s="172"/>
      <c r="BR321" s="172"/>
      <c r="BS321" s="172"/>
      <c r="BT321" s="172"/>
      <c r="BU321" s="172"/>
      <c r="BV321" s="172"/>
      <c r="BW321" s="172"/>
      <c r="BX321" s="175"/>
      <c r="BY321" s="175"/>
      <c r="BZ321" s="175"/>
      <c r="CA321" s="175"/>
      <c r="CB321" s="175"/>
      <c r="CC321" s="175"/>
      <c r="CD321" s="175"/>
      <c r="CE321" s="175"/>
      <c r="CF321" s="175"/>
      <c r="CG321" s="175"/>
      <c r="CH321" s="175"/>
      <c r="CI321" s="175"/>
      <c r="CJ321" s="175"/>
      <c r="CK321" s="175"/>
      <c r="CL321" s="175"/>
      <c r="CM321" s="175"/>
      <c r="CN321" s="175"/>
      <c r="CO321" s="175"/>
      <c r="CP321" s="175"/>
      <c r="CQ321" s="175"/>
      <c r="CR321" s="175"/>
      <c r="CS321" s="175"/>
      <c r="CT321" s="175"/>
      <c r="CU321" s="175"/>
      <c r="CV321" s="175"/>
      <c r="CW321" s="175"/>
      <c r="CX321" s="175"/>
      <c r="CY321" s="175"/>
      <c r="CZ321" s="175"/>
      <c r="DA321" s="175"/>
      <c r="DB321" s="175"/>
      <c r="DC321" s="175"/>
      <c r="DD321" s="175"/>
      <c r="DE321" s="175"/>
      <c r="DF321" s="175"/>
      <c r="DG321" s="175"/>
      <c r="DH321" s="175"/>
      <c r="DI321" s="175"/>
      <c r="DJ321" s="175"/>
      <c r="DK321" s="175"/>
      <c r="DL321" s="175"/>
      <c r="DM321" s="175"/>
      <c r="DN321" s="175"/>
      <c r="DO321" s="175"/>
      <c r="DP321" s="175"/>
      <c r="DQ321" s="175"/>
      <c r="DR321" s="175"/>
      <c r="DS321" s="175"/>
      <c r="DT321" s="175"/>
      <c r="DU321" s="175"/>
      <c r="DV321" s="175"/>
      <c r="DW321" s="175"/>
      <c r="DX321" s="175"/>
      <c r="DY321" s="175"/>
      <c r="DZ321" s="175"/>
      <c r="EA321" s="175"/>
      <c r="EB321" s="175"/>
      <c r="EC321" s="175"/>
      <c r="ED321" s="175"/>
      <c r="EE321" s="175"/>
      <c r="EF321" s="175"/>
      <c r="EG321" s="175"/>
      <c r="EH321" s="175"/>
      <c r="EI321" s="175"/>
      <c r="EJ321" s="175"/>
      <c r="EK321" s="175"/>
      <c r="EL321" s="175"/>
      <c r="EM321" s="175"/>
      <c r="EN321" s="175"/>
      <c r="EO321" s="175"/>
      <c r="EP321" s="175"/>
      <c r="EQ321" s="175"/>
      <c r="ER321" s="175"/>
      <c r="ES321" s="175"/>
      <c r="ET321" s="175"/>
      <c r="EU321" s="175"/>
      <c r="EV321" s="175"/>
      <c r="EW321" s="175"/>
      <c r="EX321" s="175"/>
      <c r="EY321" s="175"/>
      <c r="EZ321" s="175"/>
      <c r="FA321" s="175"/>
      <c r="FB321" s="175"/>
      <c r="FC321" s="175"/>
      <c r="FD321" s="175"/>
      <c r="FE321" s="175"/>
      <c r="FF321" s="175"/>
      <c r="FG321" s="175"/>
      <c r="FH321" s="175"/>
      <c r="FI321" s="175"/>
      <c r="FJ321" s="175"/>
      <c r="FK321" s="175"/>
      <c r="FL321" s="175"/>
      <c r="FM321" s="175"/>
      <c r="FN321" s="175"/>
      <c r="FO321" s="175"/>
      <c r="FP321" s="175"/>
      <c r="FQ321" s="175"/>
      <c r="FR321" s="175"/>
      <c r="FS321" s="175"/>
      <c r="FT321" s="175"/>
      <c r="FU321" s="175"/>
      <c r="FV321" s="175"/>
      <c r="FW321" s="175"/>
      <c r="FX321" s="175"/>
      <c r="FY321" s="175"/>
      <c r="FZ321" s="175"/>
      <c r="GA321" s="175"/>
      <c r="GB321" s="175"/>
      <c r="GC321" s="175"/>
      <c r="GD321" s="175"/>
      <c r="GE321" s="175"/>
      <c r="GF321" s="175"/>
      <c r="GG321" s="175"/>
      <c r="GH321" s="175"/>
      <c r="GI321" s="175"/>
      <c r="GJ321" s="175"/>
      <c r="GK321" s="175"/>
      <c r="GL321" s="175"/>
      <c r="GM321" s="175"/>
      <c r="GN321" s="175"/>
      <c r="GO321" s="175"/>
      <c r="GP321" s="175"/>
      <c r="GQ321" s="175"/>
      <c r="GR321" s="175"/>
      <c r="GS321" s="175"/>
      <c r="GT321" s="175"/>
      <c r="GU321" s="175"/>
      <c r="GV321" s="175"/>
      <c r="GW321" s="175"/>
      <c r="GX321" s="175"/>
      <c r="GY321" s="175"/>
      <c r="GZ321" s="175"/>
      <c r="HA321" s="175"/>
      <c r="HB321" s="175"/>
      <c r="HC321" s="175"/>
      <c r="HD321" s="175"/>
      <c r="HE321" s="175"/>
      <c r="HF321" s="175"/>
      <c r="HG321" s="175"/>
      <c r="HH321" s="175"/>
      <c r="HI321" s="175"/>
      <c r="HJ321" s="175"/>
      <c r="HK321" s="175"/>
      <c r="HL321" s="175"/>
      <c r="HM321" s="175"/>
      <c r="HN321" s="175"/>
      <c r="HO321" s="175"/>
      <c r="HP321" s="175"/>
      <c r="HQ321" s="175"/>
      <c r="HR321" s="175"/>
      <c r="HS321" s="175"/>
      <c r="HT321" s="175"/>
      <c r="HU321" s="175"/>
      <c r="HV321" s="175"/>
      <c r="HW321" s="175"/>
      <c r="HX321" s="175"/>
      <c r="HY321" s="175"/>
      <c r="HZ321" s="175"/>
      <c r="IA321" s="175"/>
      <c r="IB321" s="175"/>
      <c r="IC321" s="175"/>
      <c r="ID321" s="175"/>
      <c r="IE321" s="175"/>
      <c r="IF321" s="175"/>
      <c r="IG321" s="175"/>
      <c r="IH321" s="175"/>
      <c r="II321" s="175"/>
      <c r="IJ321" s="175"/>
      <c r="IK321" s="175"/>
      <c r="IL321" s="175"/>
      <c r="IM321" s="175"/>
      <c r="IN321" s="175"/>
      <c r="IO321" s="175"/>
      <c r="IP321" s="175"/>
      <c r="IQ321" s="175"/>
      <c r="IR321" s="175"/>
      <c r="IS321" s="175"/>
      <c r="IT321" s="175"/>
      <c r="IU321" s="175"/>
      <c r="IV321" s="175"/>
      <c r="IW321" s="175"/>
      <c r="IX321" s="175"/>
      <c r="IY321" s="175"/>
      <c r="IZ321" s="175"/>
      <c r="JA321" s="175"/>
      <c r="JB321" s="175"/>
      <c r="JC321" s="175"/>
      <c r="JD321" s="175"/>
      <c r="JE321" s="175"/>
      <c r="JF321" s="175"/>
      <c r="JG321" s="175"/>
      <c r="JH321" s="175"/>
      <c r="JI321" s="175"/>
      <c r="JJ321" s="175"/>
      <c r="JK321" s="175"/>
      <c r="JL321" s="175"/>
      <c r="JM321" s="175"/>
      <c r="JN321" s="175"/>
      <c r="JO321" s="175"/>
      <c r="JP321" s="175"/>
      <c r="JQ321" s="175"/>
      <c r="JR321" s="175"/>
      <c r="JS321" s="175"/>
      <c r="JT321" s="175"/>
      <c r="JU321" s="175"/>
      <c r="JV321" s="175"/>
      <c r="JW321" s="175"/>
      <c r="JX321" s="175"/>
      <c r="JY321" s="175"/>
      <c r="JZ321" s="175"/>
      <c r="KA321" s="175"/>
      <c r="KB321" s="175"/>
      <c r="KC321" s="175"/>
      <c r="KD321" s="175"/>
      <c r="KE321" s="175"/>
      <c r="KF321" s="175"/>
      <c r="KG321" s="175"/>
      <c r="KH321" s="175"/>
      <c r="KI321" s="175"/>
      <c r="KJ321" s="175"/>
      <c r="KK321" s="175"/>
      <c r="KL321" s="175"/>
      <c r="KM321" s="175"/>
      <c r="KN321" s="175"/>
      <c r="KO321" s="175"/>
      <c r="KP321" s="175"/>
      <c r="KQ321" s="175"/>
      <c r="KR321" s="175"/>
      <c r="KS321" s="175"/>
      <c r="KT321" s="175"/>
      <c r="KU321" s="175"/>
    </row>
    <row r="322" spans="1:307" x14ac:dyDescent="0.2">
      <c r="A322" s="172"/>
      <c r="B322" s="172"/>
      <c r="C322" s="172"/>
      <c r="D322" s="172"/>
      <c r="E322" s="172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2"/>
      <c r="AG322" s="172"/>
      <c r="AH322" s="172"/>
      <c r="AI322" s="172"/>
      <c r="AJ322" s="172"/>
      <c r="AK322" s="172"/>
      <c r="AL322" s="172"/>
      <c r="AM322" s="172"/>
      <c r="AN322" s="172"/>
      <c r="AO322" s="172"/>
      <c r="AP322" s="172"/>
      <c r="AQ322" s="172"/>
      <c r="AR322" s="172"/>
      <c r="AS322" s="172"/>
      <c r="AT322" s="172"/>
      <c r="AU322" s="172"/>
      <c r="AV322" s="172"/>
      <c r="AW322" s="172"/>
      <c r="AX322" s="172"/>
      <c r="AY322" s="172"/>
      <c r="AZ322" s="172"/>
      <c r="BA322" s="172"/>
      <c r="BB322" s="172"/>
      <c r="BC322" s="172"/>
      <c r="BD322" s="172"/>
      <c r="BE322" s="172"/>
      <c r="BF322" s="172"/>
      <c r="BG322" s="172"/>
      <c r="BH322" s="172"/>
      <c r="BI322" s="172"/>
      <c r="BJ322" s="172"/>
      <c r="BK322" s="172"/>
      <c r="BL322" s="172"/>
      <c r="BM322" s="172"/>
      <c r="BN322" s="172"/>
      <c r="BO322" s="172"/>
      <c r="BP322" s="172"/>
      <c r="BQ322" s="172"/>
      <c r="BR322" s="172"/>
      <c r="BS322" s="172"/>
      <c r="BT322" s="172"/>
      <c r="BU322" s="172"/>
      <c r="BV322" s="172"/>
      <c r="BW322" s="172"/>
      <c r="BX322" s="175"/>
      <c r="BY322" s="175"/>
      <c r="BZ322" s="175"/>
      <c r="CA322" s="175"/>
      <c r="CB322" s="175"/>
      <c r="CC322" s="175"/>
      <c r="CD322" s="175"/>
      <c r="CE322" s="175"/>
      <c r="CF322" s="175"/>
      <c r="CG322" s="175"/>
      <c r="CH322" s="175"/>
      <c r="CI322" s="175"/>
      <c r="CJ322" s="175"/>
      <c r="CK322" s="175"/>
      <c r="CL322" s="175"/>
      <c r="CM322" s="175"/>
      <c r="CN322" s="175"/>
      <c r="CO322" s="175"/>
      <c r="CP322" s="175"/>
      <c r="CQ322" s="175"/>
      <c r="CR322" s="175"/>
      <c r="CS322" s="175"/>
      <c r="CT322" s="175"/>
      <c r="CU322" s="175"/>
      <c r="CV322" s="175"/>
      <c r="CW322" s="175"/>
      <c r="CX322" s="175"/>
      <c r="CY322" s="175"/>
      <c r="CZ322" s="175"/>
      <c r="DA322" s="175"/>
      <c r="DB322" s="175"/>
      <c r="DC322" s="175"/>
      <c r="DD322" s="175"/>
      <c r="DE322" s="175"/>
      <c r="DF322" s="175"/>
      <c r="DG322" s="175"/>
      <c r="DH322" s="175"/>
      <c r="DI322" s="175"/>
      <c r="DJ322" s="175"/>
      <c r="DK322" s="175"/>
      <c r="DL322" s="175"/>
      <c r="DM322" s="175"/>
      <c r="DN322" s="175"/>
      <c r="DO322" s="175"/>
      <c r="DP322" s="175"/>
      <c r="DQ322" s="175"/>
      <c r="DR322" s="175"/>
      <c r="DS322" s="175"/>
      <c r="DT322" s="175"/>
      <c r="DU322" s="175"/>
      <c r="DV322" s="175"/>
      <c r="DW322" s="175"/>
      <c r="DX322" s="175"/>
      <c r="DY322" s="175"/>
      <c r="DZ322" s="175"/>
      <c r="EA322" s="175"/>
      <c r="EB322" s="175"/>
      <c r="EC322" s="175"/>
      <c r="ED322" s="175"/>
      <c r="EE322" s="175"/>
      <c r="EF322" s="175"/>
      <c r="EG322" s="175"/>
      <c r="EH322" s="175"/>
      <c r="EI322" s="175"/>
      <c r="EJ322" s="175"/>
      <c r="EK322" s="175"/>
      <c r="EL322" s="175"/>
      <c r="EM322" s="175"/>
      <c r="EN322" s="175"/>
      <c r="EO322" s="175"/>
      <c r="EP322" s="175"/>
      <c r="EQ322" s="175"/>
      <c r="ER322" s="175"/>
      <c r="ES322" s="175"/>
      <c r="ET322" s="175"/>
      <c r="EU322" s="175"/>
      <c r="EV322" s="175"/>
      <c r="EW322" s="175"/>
      <c r="EX322" s="175"/>
      <c r="EY322" s="175"/>
      <c r="EZ322" s="175"/>
      <c r="FA322" s="175"/>
      <c r="FB322" s="175"/>
      <c r="FC322" s="175"/>
      <c r="FD322" s="175"/>
      <c r="FE322" s="175"/>
      <c r="FF322" s="175"/>
      <c r="FG322" s="175"/>
      <c r="FH322" s="175"/>
      <c r="FI322" s="175"/>
      <c r="FJ322" s="175"/>
      <c r="FK322" s="175"/>
      <c r="FL322" s="175"/>
      <c r="FM322" s="175"/>
      <c r="FN322" s="175"/>
      <c r="FO322" s="175"/>
      <c r="FP322" s="175"/>
      <c r="FQ322" s="175"/>
      <c r="FR322" s="175"/>
      <c r="FS322" s="175"/>
      <c r="FT322" s="175"/>
      <c r="FU322" s="175"/>
      <c r="FV322" s="175"/>
      <c r="FW322" s="175"/>
      <c r="FX322" s="175"/>
      <c r="FY322" s="175"/>
      <c r="FZ322" s="175"/>
      <c r="GA322" s="175"/>
      <c r="GB322" s="175"/>
      <c r="GC322" s="175"/>
      <c r="GD322" s="175"/>
      <c r="GE322" s="175"/>
      <c r="GF322" s="175"/>
      <c r="GG322" s="175"/>
      <c r="GH322" s="175"/>
      <c r="GI322" s="175"/>
      <c r="GJ322" s="175"/>
      <c r="GK322" s="175"/>
      <c r="GL322" s="175"/>
      <c r="GM322" s="175"/>
      <c r="GN322" s="175"/>
      <c r="GO322" s="175"/>
      <c r="GP322" s="175"/>
      <c r="GQ322" s="175"/>
      <c r="GR322" s="175"/>
      <c r="GS322" s="175"/>
      <c r="GT322" s="175"/>
      <c r="GU322" s="175"/>
      <c r="GV322" s="175"/>
      <c r="GW322" s="175"/>
      <c r="GX322" s="175"/>
      <c r="GY322" s="175"/>
      <c r="GZ322" s="175"/>
      <c r="HA322" s="175"/>
      <c r="HB322" s="175"/>
      <c r="HC322" s="175"/>
      <c r="HD322" s="175"/>
      <c r="HE322" s="175"/>
      <c r="HF322" s="175"/>
      <c r="HG322" s="175"/>
      <c r="HH322" s="175"/>
      <c r="HI322" s="175"/>
      <c r="HJ322" s="175"/>
      <c r="HK322" s="175"/>
      <c r="HL322" s="175"/>
      <c r="HM322" s="175"/>
      <c r="HN322" s="175"/>
      <c r="HO322" s="175"/>
      <c r="HP322" s="175"/>
      <c r="HQ322" s="175"/>
      <c r="HR322" s="175"/>
      <c r="HS322" s="175"/>
      <c r="HT322" s="175"/>
      <c r="HU322" s="175"/>
      <c r="HV322" s="175"/>
      <c r="HW322" s="175"/>
      <c r="HX322" s="175"/>
      <c r="HY322" s="175"/>
      <c r="HZ322" s="175"/>
      <c r="IA322" s="175"/>
      <c r="IB322" s="175"/>
      <c r="IC322" s="175"/>
      <c r="ID322" s="175"/>
      <c r="IE322" s="175"/>
      <c r="IF322" s="175"/>
      <c r="IG322" s="175"/>
      <c r="IH322" s="175"/>
      <c r="II322" s="175"/>
      <c r="IJ322" s="175"/>
      <c r="IK322" s="175"/>
      <c r="IL322" s="175"/>
      <c r="IM322" s="175"/>
      <c r="IN322" s="175"/>
      <c r="IO322" s="175"/>
      <c r="IP322" s="175"/>
      <c r="IQ322" s="175"/>
      <c r="IR322" s="175"/>
      <c r="IS322" s="175"/>
      <c r="IT322" s="175"/>
      <c r="IU322" s="175"/>
      <c r="IV322" s="175"/>
      <c r="IW322" s="175"/>
      <c r="IX322" s="175"/>
      <c r="IY322" s="175"/>
      <c r="IZ322" s="175"/>
      <c r="JA322" s="175"/>
      <c r="JB322" s="175"/>
      <c r="JC322" s="175"/>
      <c r="JD322" s="175"/>
      <c r="JE322" s="175"/>
      <c r="JF322" s="175"/>
      <c r="JG322" s="175"/>
      <c r="JH322" s="175"/>
      <c r="JI322" s="175"/>
      <c r="JJ322" s="175"/>
      <c r="JK322" s="175"/>
      <c r="JL322" s="175"/>
      <c r="JM322" s="175"/>
      <c r="JN322" s="175"/>
      <c r="JO322" s="175"/>
      <c r="JP322" s="175"/>
      <c r="JQ322" s="175"/>
      <c r="JR322" s="175"/>
      <c r="JS322" s="175"/>
      <c r="JT322" s="175"/>
      <c r="JU322" s="175"/>
      <c r="JV322" s="175"/>
      <c r="JW322" s="175"/>
      <c r="JX322" s="175"/>
      <c r="JY322" s="175"/>
      <c r="JZ322" s="175"/>
      <c r="KA322" s="175"/>
      <c r="KB322" s="175"/>
      <c r="KC322" s="175"/>
      <c r="KD322" s="175"/>
      <c r="KE322" s="175"/>
      <c r="KF322" s="175"/>
      <c r="KG322" s="175"/>
      <c r="KH322" s="175"/>
      <c r="KI322" s="175"/>
      <c r="KJ322" s="175"/>
      <c r="KK322" s="175"/>
      <c r="KL322" s="175"/>
      <c r="KM322" s="175"/>
      <c r="KN322" s="175"/>
      <c r="KO322" s="175"/>
      <c r="KP322" s="175"/>
      <c r="KQ322" s="175"/>
      <c r="KR322" s="175"/>
      <c r="KS322" s="175"/>
      <c r="KT322" s="175"/>
      <c r="KU322" s="175"/>
    </row>
    <row r="323" spans="1:307" x14ac:dyDescent="0.2">
      <c r="A323" s="172"/>
      <c r="B323" s="172"/>
      <c r="C323" s="172"/>
      <c r="D323" s="172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  <c r="AG323" s="172"/>
      <c r="AH323" s="172"/>
      <c r="AI323" s="172"/>
      <c r="AJ323" s="172"/>
      <c r="AK323" s="172"/>
      <c r="AL323" s="172"/>
      <c r="AM323" s="172"/>
      <c r="AN323" s="172"/>
      <c r="AO323" s="172"/>
      <c r="AP323" s="172"/>
      <c r="AQ323" s="172"/>
      <c r="AR323" s="172"/>
      <c r="AS323" s="172"/>
      <c r="AT323" s="172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  <c r="BE323" s="172"/>
      <c r="BF323" s="172"/>
      <c r="BG323" s="172"/>
      <c r="BH323" s="172"/>
      <c r="BI323" s="172"/>
      <c r="BJ323" s="172"/>
      <c r="BK323" s="172"/>
      <c r="BL323" s="172"/>
      <c r="BM323" s="172"/>
      <c r="BN323" s="172"/>
      <c r="BO323" s="172"/>
      <c r="BP323" s="172"/>
      <c r="BQ323" s="172"/>
      <c r="BR323" s="172"/>
      <c r="BS323" s="172"/>
      <c r="BT323" s="172"/>
      <c r="BU323" s="172"/>
      <c r="BV323" s="172"/>
      <c r="BW323" s="172"/>
      <c r="BX323" s="175"/>
      <c r="BY323" s="175"/>
      <c r="BZ323" s="175"/>
      <c r="CA323" s="175"/>
      <c r="CB323" s="175"/>
      <c r="CC323" s="175"/>
      <c r="CD323" s="175"/>
      <c r="CE323" s="175"/>
      <c r="CF323" s="175"/>
      <c r="CG323" s="175"/>
      <c r="CH323" s="175"/>
      <c r="CI323" s="175"/>
      <c r="CJ323" s="175"/>
      <c r="CK323" s="175"/>
      <c r="CL323" s="175"/>
      <c r="CM323" s="175"/>
      <c r="CN323" s="175"/>
      <c r="CO323" s="175"/>
      <c r="CP323" s="175"/>
      <c r="CQ323" s="175"/>
      <c r="CR323" s="175"/>
      <c r="CS323" s="175"/>
      <c r="CT323" s="175"/>
      <c r="CU323" s="175"/>
      <c r="CV323" s="175"/>
      <c r="CW323" s="175"/>
      <c r="CX323" s="175"/>
      <c r="CY323" s="175"/>
      <c r="CZ323" s="175"/>
      <c r="DA323" s="175"/>
      <c r="DB323" s="175"/>
      <c r="DC323" s="175"/>
      <c r="DD323" s="175"/>
      <c r="DE323" s="175"/>
      <c r="DF323" s="175"/>
      <c r="DG323" s="175"/>
      <c r="DH323" s="175"/>
      <c r="DI323" s="175"/>
      <c r="DJ323" s="175"/>
      <c r="DK323" s="175"/>
      <c r="DL323" s="175"/>
      <c r="DM323" s="175"/>
      <c r="DN323" s="175"/>
      <c r="DO323" s="175"/>
      <c r="DP323" s="175"/>
      <c r="DQ323" s="175"/>
      <c r="DR323" s="175"/>
      <c r="DS323" s="175"/>
      <c r="DT323" s="175"/>
      <c r="DU323" s="175"/>
      <c r="DV323" s="175"/>
      <c r="DW323" s="175"/>
      <c r="DX323" s="175"/>
      <c r="DY323" s="175"/>
      <c r="DZ323" s="175"/>
      <c r="EA323" s="175"/>
      <c r="EB323" s="175"/>
      <c r="EC323" s="175"/>
      <c r="ED323" s="175"/>
      <c r="EE323" s="175"/>
      <c r="EF323" s="175"/>
      <c r="EG323" s="175"/>
      <c r="EH323" s="175"/>
      <c r="EI323" s="175"/>
      <c r="EJ323" s="175"/>
      <c r="EK323" s="175"/>
      <c r="EL323" s="175"/>
      <c r="EM323" s="175"/>
      <c r="EN323" s="175"/>
      <c r="EO323" s="175"/>
      <c r="EP323" s="175"/>
      <c r="EQ323" s="175"/>
      <c r="ER323" s="175"/>
      <c r="ES323" s="175"/>
      <c r="ET323" s="175"/>
      <c r="EU323" s="175"/>
      <c r="EV323" s="175"/>
      <c r="EW323" s="175"/>
      <c r="EX323" s="175"/>
      <c r="EY323" s="175"/>
      <c r="EZ323" s="175"/>
      <c r="FA323" s="175"/>
      <c r="FB323" s="175"/>
      <c r="FC323" s="175"/>
      <c r="FD323" s="175"/>
      <c r="FE323" s="175"/>
      <c r="FF323" s="175"/>
      <c r="FG323" s="175"/>
      <c r="FH323" s="175"/>
      <c r="FI323" s="175"/>
      <c r="FJ323" s="175"/>
      <c r="FK323" s="175"/>
      <c r="FL323" s="175"/>
      <c r="FM323" s="175"/>
      <c r="FN323" s="175"/>
      <c r="FO323" s="175"/>
      <c r="FP323" s="175"/>
      <c r="FQ323" s="175"/>
      <c r="FR323" s="175"/>
      <c r="FS323" s="175"/>
      <c r="FT323" s="175"/>
      <c r="FU323" s="175"/>
      <c r="FV323" s="175"/>
      <c r="FW323" s="175"/>
      <c r="FX323" s="175"/>
      <c r="FY323" s="175"/>
      <c r="FZ323" s="175"/>
      <c r="GA323" s="175"/>
      <c r="GB323" s="175"/>
      <c r="GC323" s="175"/>
      <c r="GD323" s="175"/>
      <c r="GE323" s="175"/>
      <c r="GF323" s="175"/>
      <c r="GG323" s="175"/>
      <c r="GH323" s="175"/>
      <c r="GI323" s="175"/>
      <c r="GJ323" s="175"/>
      <c r="GK323" s="175"/>
      <c r="GL323" s="175"/>
      <c r="GM323" s="175"/>
      <c r="GN323" s="175"/>
      <c r="GO323" s="175"/>
      <c r="GP323" s="175"/>
      <c r="GQ323" s="175"/>
      <c r="GR323" s="175"/>
      <c r="GS323" s="175"/>
      <c r="GT323" s="175"/>
      <c r="GU323" s="175"/>
      <c r="GV323" s="175"/>
      <c r="GW323" s="175"/>
      <c r="GX323" s="175"/>
      <c r="GY323" s="175"/>
      <c r="GZ323" s="175"/>
      <c r="HA323" s="175"/>
      <c r="HB323" s="175"/>
      <c r="HC323" s="175"/>
      <c r="HD323" s="175"/>
      <c r="HE323" s="175"/>
      <c r="HF323" s="175"/>
      <c r="HG323" s="175"/>
      <c r="HH323" s="175"/>
      <c r="HI323" s="175"/>
      <c r="HJ323" s="175"/>
      <c r="HK323" s="175"/>
      <c r="HL323" s="175"/>
      <c r="HM323" s="175"/>
      <c r="HN323" s="175"/>
      <c r="HO323" s="175"/>
      <c r="HP323" s="175"/>
      <c r="HQ323" s="175"/>
      <c r="HR323" s="175"/>
      <c r="HS323" s="175"/>
      <c r="HT323" s="175"/>
      <c r="HU323" s="175"/>
      <c r="HV323" s="175"/>
      <c r="HW323" s="175"/>
      <c r="HX323" s="175"/>
      <c r="HY323" s="175"/>
      <c r="HZ323" s="175"/>
      <c r="IA323" s="175"/>
      <c r="IB323" s="175"/>
      <c r="IC323" s="175"/>
      <c r="ID323" s="175"/>
      <c r="IE323" s="175"/>
      <c r="IF323" s="175"/>
      <c r="IG323" s="175"/>
      <c r="IH323" s="175"/>
      <c r="II323" s="175"/>
      <c r="IJ323" s="175"/>
      <c r="IK323" s="175"/>
      <c r="IL323" s="175"/>
      <c r="IM323" s="175"/>
      <c r="IN323" s="175"/>
      <c r="IO323" s="175"/>
      <c r="IP323" s="175"/>
      <c r="IQ323" s="175"/>
      <c r="IR323" s="175"/>
      <c r="IS323" s="175"/>
      <c r="IT323" s="175"/>
      <c r="IU323" s="175"/>
      <c r="IV323" s="175"/>
      <c r="IW323" s="175"/>
      <c r="IX323" s="175"/>
      <c r="IY323" s="175"/>
      <c r="IZ323" s="175"/>
      <c r="JA323" s="175"/>
      <c r="JB323" s="175"/>
      <c r="JC323" s="175"/>
      <c r="JD323" s="175"/>
      <c r="JE323" s="175"/>
      <c r="JF323" s="175"/>
      <c r="JG323" s="175"/>
      <c r="JH323" s="175"/>
      <c r="JI323" s="175"/>
      <c r="JJ323" s="175"/>
      <c r="JK323" s="175"/>
      <c r="JL323" s="175"/>
      <c r="JM323" s="175"/>
      <c r="JN323" s="175"/>
      <c r="JO323" s="175"/>
      <c r="JP323" s="175"/>
      <c r="JQ323" s="175"/>
      <c r="JR323" s="175"/>
      <c r="JS323" s="175"/>
      <c r="JT323" s="175"/>
      <c r="JU323" s="175"/>
      <c r="JV323" s="175"/>
      <c r="JW323" s="175"/>
      <c r="JX323" s="175"/>
      <c r="JY323" s="175"/>
      <c r="JZ323" s="175"/>
      <c r="KA323" s="175"/>
      <c r="KB323" s="175"/>
      <c r="KC323" s="175"/>
      <c r="KD323" s="175"/>
      <c r="KE323" s="175"/>
      <c r="KF323" s="175"/>
      <c r="KG323" s="175"/>
      <c r="KH323" s="175"/>
      <c r="KI323" s="175"/>
      <c r="KJ323" s="175"/>
      <c r="KK323" s="175"/>
      <c r="KL323" s="175"/>
      <c r="KM323" s="175"/>
      <c r="KN323" s="175"/>
      <c r="KO323" s="175"/>
      <c r="KP323" s="175"/>
      <c r="KQ323" s="175"/>
      <c r="KR323" s="175"/>
      <c r="KS323" s="175"/>
      <c r="KT323" s="175"/>
      <c r="KU323" s="175"/>
    </row>
    <row r="324" spans="1:307" x14ac:dyDescent="0.2">
      <c r="A324" s="172"/>
      <c r="B324" s="172"/>
      <c r="C324" s="172"/>
      <c r="D324" s="172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  <c r="AA324" s="172"/>
      <c r="AB324" s="172"/>
      <c r="AC324" s="172"/>
      <c r="AD324" s="172"/>
      <c r="AE324" s="172"/>
      <c r="AF324" s="172"/>
      <c r="AG324" s="172"/>
      <c r="AH324" s="172"/>
      <c r="AI324" s="172"/>
      <c r="AJ324" s="172"/>
      <c r="AK324" s="172"/>
      <c r="AL324" s="172"/>
      <c r="AM324" s="172"/>
      <c r="AN324" s="172"/>
      <c r="AO324" s="172"/>
      <c r="AP324" s="172"/>
      <c r="AQ324" s="172"/>
      <c r="AR324" s="172"/>
      <c r="AS324" s="172"/>
      <c r="AT324" s="172"/>
      <c r="AU324" s="172"/>
      <c r="AV324" s="172"/>
      <c r="AW324" s="172"/>
      <c r="AX324" s="172"/>
      <c r="AY324" s="172"/>
      <c r="AZ324" s="172"/>
      <c r="BA324" s="172"/>
      <c r="BB324" s="172"/>
      <c r="BC324" s="172"/>
      <c r="BD324" s="172"/>
      <c r="BE324" s="172"/>
      <c r="BF324" s="172"/>
      <c r="BG324" s="172"/>
      <c r="BH324" s="172"/>
      <c r="BI324" s="172"/>
      <c r="BJ324" s="172"/>
      <c r="BK324" s="172"/>
      <c r="BL324" s="172"/>
      <c r="BM324" s="172"/>
      <c r="BN324" s="172"/>
      <c r="BO324" s="172"/>
      <c r="BP324" s="172"/>
      <c r="BQ324" s="172"/>
      <c r="BR324" s="172"/>
      <c r="BS324" s="172"/>
      <c r="BT324" s="172"/>
      <c r="BU324" s="172"/>
      <c r="BV324" s="172"/>
      <c r="BW324" s="172"/>
      <c r="BX324" s="175"/>
      <c r="BY324" s="175"/>
      <c r="BZ324" s="175"/>
      <c r="CA324" s="175"/>
      <c r="CB324" s="175"/>
      <c r="CC324" s="175"/>
      <c r="CD324" s="175"/>
      <c r="CE324" s="175"/>
      <c r="CF324" s="175"/>
      <c r="CG324" s="175"/>
      <c r="CH324" s="175"/>
      <c r="CI324" s="175"/>
      <c r="CJ324" s="175"/>
      <c r="CK324" s="175"/>
      <c r="CL324" s="175"/>
      <c r="CM324" s="175"/>
      <c r="CN324" s="175"/>
      <c r="CO324" s="175"/>
      <c r="CP324" s="175"/>
      <c r="CQ324" s="175"/>
      <c r="CR324" s="175"/>
      <c r="CS324" s="175"/>
      <c r="CT324" s="175"/>
      <c r="CU324" s="175"/>
      <c r="CV324" s="175"/>
      <c r="CW324" s="175"/>
      <c r="CX324" s="175"/>
      <c r="CY324" s="175"/>
      <c r="CZ324" s="175"/>
      <c r="DA324" s="175"/>
      <c r="DB324" s="175"/>
      <c r="DC324" s="175"/>
      <c r="DD324" s="175"/>
      <c r="DE324" s="175"/>
      <c r="DF324" s="175"/>
      <c r="DG324" s="175"/>
      <c r="DH324" s="175"/>
      <c r="DI324" s="175"/>
      <c r="DJ324" s="175"/>
      <c r="DK324" s="175"/>
      <c r="DL324" s="175"/>
      <c r="DM324" s="175"/>
      <c r="DN324" s="175"/>
      <c r="DO324" s="175"/>
      <c r="DP324" s="175"/>
      <c r="DQ324" s="175"/>
      <c r="DR324" s="175"/>
      <c r="DS324" s="175"/>
      <c r="DT324" s="175"/>
      <c r="DU324" s="175"/>
      <c r="DV324" s="175"/>
      <c r="DW324" s="175"/>
      <c r="DX324" s="175"/>
      <c r="DY324" s="175"/>
      <c r="DZ324" s="175"/>
      <c r="EA324" s="175"/>
      <c r="EB324" s="175"/>
      <c r="EC324" s="175"/>
      <c r="ED324" s="175"/>
      <c r="EE324" s="175"/>
      <c r="EF324" s="175"/>
      <c r="EG324" s="175"/>
      <c r="EH324" s="175"/>
      <c r="EI324" s="175"/>
      <c r="EJ324" s="175"/>
      <c r="EK324" s="175"/>
      <c r="EL324" s="175"/>
      <c r="EM324" s="175"/>
      <c r="EN324" s="175"/>
      <c r="EO324" s="175"/>
      <c r="EP324" s="175"/>
      <c r="EQ324" s="175"/>
      <c r="ER324" s="175"/>
      <c r="ES324" s="175"/>
      <c r="ET324" s="175"/>
      <c r="EU324" s="175"/>
      <c r="EV324" s="175"/>
      <c r="EW324" s="175"/>
      <c r="EX324" s="175"/>
      <c r="EY324" s="175"/>
      <c r="EZ324" s="175"/>
      <c r="FA324" s="175"/>
      <c r="FB324" s="175"/>
      <c r="FC324" s="175"/>
      <c r="FD324" s="175"/>
      <c r="FE324" s="175"/>
      <c r="FF324" s="175"/>
      <c r="FG324" s="175"/>
      <c r="FH324" s="175"/>
      <c r="FI324" s="175"/>
      <c r="FJ324" s="175"/>
      <c r="FK324" s="175"/>
      <c r="FL324" s="175"/>
      <c r="FM324" s="175"/>
      <c r="FN324" s="175"/>
      <c r="FO324" s="175"/>
      <c r="FP324" s="175"/>
      <c r="FQ324" s="175"/>
      <c r="FR324" s="175"/>
      <c r="FS324" s="175"/>
      <c r="FT324" s="175"/>
      <c r="FU324" s="175"/>
      <c r="FV324" s="175"/>
      <c r="FW324" s="175"/>
      <c r="FX324" s="175"/>
      <c r="FY324" s="175"/>
      <c r="FZ324" s="175"/>
      <c r="GA324" s="175"/>
      <c r="GB324" s="175"/>
      <c r="GC324" s="175"/>
      <c r="GD324" s="175"/>
      <c r="GE324" s="175"/>
      <c r="GF324" s="175"/>
      <c r="GG324" s="175"/>
      <c r="GH324" s="175"/>
      <c r="GI324" s="175"/>
      <c r="GJ324" s="175"/>
      <c r="GK324" s="175"/>
      <c r="GL324" s="175"/>
      <c r="GM324" s="175"/>
      <c r="GN324" s="175"/>
      <c r="GO324" s="175"/>
      <c r="GP324" s="175"/>
      <c r="GQ324" s="175"/>
      <c r="GR324" s="175"/>
      <c r="GS324" s="175"/>
      <c r="GT324" s="175"/>
      <c r="GU324" s="175"/>
      <c r="GV324" s="175"/>
      <c r="GW324" s="175"/>
      <c r="GX324" s="175"/>
      <c r="GY324" s="175"/>
      <c r="GZ324" s="175"/>
      <c r="HA324" s="175"/>
      <c r="HB324" s="175"/>
      <c r="HC324" s="175"/>
      <c r="HD324" s="175"/>
      <c r="HE324" s="175"/>
      <c r="HF324" s="175"/>
      <c r="HG324" s="175"/>
      <c r="HH324" s="175"/>
      <c r="HI324" s="175"/>
      <c r="HJ324" s="175"/>
      <c r="HK324" s="175"/>
      <c r="HL324" s="175"/>
      <c r="HM324" s="175"/>
      <c r="HN324" s="175"/>
      <c r="HO324" s="175"/>
      <c r="HP324" s="175"/>
      <c r="HQ324" s="175"/>
      <c r="HR324" s="175"/>
      <c r="HS324" s="175"/>
      <c r="HT324" s="175"/>
      <c r="HU324" s="175"/>
      <c r="HV324" s="175"/>
      <c r="HW324" s="175"/>
      <c r="HX324" s="175"/>
      <c r="HY324" s="175"/>
      <c r="HZ324" s="175"/>
      <c r="IA324" s="175"/>
      <c r="IB324" s="175"/>
      <c r="IC324" s="175"/>
      <c r="ID324" s="175"/>
      <c r="IE324" s="175"/>
      <c r="IF324" s="175"/>
      <c r="IG324" s="175"/>
      <c r="IH324" s="175"/>
      <c r="II324" s="175"/>
      <c r="IJ324" s="175"/>
      <c r="IK324" s="175"/>
      <c r="IL324" s="175"/>
      <c r="IM324" s="175"/>
      <c r="IN324" s="175"/>
      <c r="IO324" s="175"/>
      <c r="IP324" s="175"/>
      <c r="IQ324" s="175"/>
      <c r="IR324" s="175"/>
      <c r="IS324" s="175"/>
      <c r="IT324" s="175"/>
      <c r="IU324" s="175"/>
      <c r="IV324" s="175"/>
      <c r="IW324" s="175"/>
      <c r="IX324" s="175"/>
      <c r="IY324" s="175"/>
      <c r="IZ324" s="175"/>
      <c r="JA324" s="175"/>
      <c r="JB324" s="175"/>
      <c r="JC324" s="175"/>
      <c r="JD324" s="175"/>
      <c r="JE324" s="175"/>
      <c r="JF324" s="175"/>
      <c r="JG324" s="175"/>
      <c r="JH324" s="175"/>
      <c r="JI324" s="175"/>
      <c r="JJ324" s="175"/>
      <c r="JK324" s="175"/>
      <c r="JL324" s="175"/>
      <c r="JM324" s="175"/>
      <c r="JN324" s="175"/>
      <c r="JO324" s="175"/>
      <c r="JP324" s="175"/>
      <c r="JQ324" s="175"/>
      <c r="JR324" s="175"/>
      <c r="JS324" s="175"/>
      <c r="JT324" s="175"/>
      <c r="JU324" s="175"/>
      <c r="JV324" s="175"/>
      <c r="JW324" s="175"/>
      <c r="JX324" s="175"/>
      <c r="JY324" s="175"/>
      <c r="JZ324" s="175"/>
      <c r="KA324" s="175"/>
      <c r="KB324" s="175"/>
      <c r="KC324" s="175"/>
      <c r="KD324" s="175"/>
      <c r="KE324" s="175"/>
      <c r="KF324" s="175"/>
      <c r="KG324" s="175"/>
      <c r="KH324" s="175"/>
      <c r="KI324" s="175"/>
      <c r="KJ324" s="175"/>
      <c r="KK324" s="175"/>
      <c r="KL324" s="175"/>
      <c r="KM324" s="175"/>
      <c r="KN324" s="175"/>
      <c r="KO324" s="175"/>
      <c r="KP324" s="175"/>
      <c r="KQ324" s="175"/>
      <c r="KR324" s="175"/>
      <c r="KS324" s="175"/>
      <c r="KT324" s="175"/>
      <c r="KU324" s="175"/>
    </row>
    <row r="325" spans="1:307" x14ac:dyDescent="0.2">
      <c r="A325" s="172"/>
      <c r="B325" s="172"/>
      <c r="C325" s="172"/>
      <c r="D325" s="17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72"/>
      <c r="AA325" s="172"/>
      <c r="AB325" s="172"/>
      <c r="AC325" s="172"/>
      <c r="AD325" s="172"/>
      <c r="AE325" s="172"/>
      <c r="AF325" s="172"/>
      <c r="AG325" s="172"/>
      <c r="AH325" s="172"/>
      <c r="AI325" s="172"/>
      <c r="AJ325" s="172"/>
      <c r="AK325" s="172"/>
      <c r="AL325" s="172"/>
      <c r="AM325" s="172"/>
      <c r="AN325" s="172"/>
      <c r="AO325" s="172"/>
      <c r="AP325" s="172"/>
      <c r="AQ325" s="172"/>
      <c r="AR325" s="172"/>
      <c r="AS325" s="172"/>
      <c r="AT325" s="172"/>
      <c r="AU325" s="172"/>
      <c r="AV325" s="172"/>
      <c r="AW325" s="172"/>
      <c r="AX325" s="172"/>
      <c r="AY325" s="172"/>
      <c r="AZ325" s="172"/>
      <c r="BA325" s="172"/>
      <c r="BB325" s="172"/>
      <c r="BC325" s="172"/>
      <c r="BD325" s="172"/>
      <c r="BE325" s="172"/>
      <c r="BF325" s="172"/>
      <c r="BG325" s="172"/>
      <c r="BH325" s="172"/>
      <c r="BI325" s="172"/>
      <c r="BJ325" s="172"/>
      <c r="BK325" s="172"/>
      <c r="BL325" s="172"/>
      <c r="BM325" s="172"/>
      <c r="BN325" s="172"/>
      <c r="BO325" s="172"/>
      <c r="BP325" s="172"/>
      <c r="BQ325" s="172"/>
      <c r="BR325" s="172"/>
      <c r="BS325" s="172"/>
      <c r="BT325" s="172"/>
      <c r="BU325" s="172"/>
      <c r="BV325" s="172"/>
      <c r="BW325" s="172"/>
      <c r="BX325" s="175"/>
      <c r="BY325" s="175"/>
      <c r="BZ325" s="175"/>
      <c r="CA325" s="175"/>
      <c r="CB325" s="175"/>
      <c r="CC325" s="175"/>
      <c r="CD325" s="175"/>
      <c r="CE325" s="175"/>
      <c r="CF325" s="175"/>
      <c r="CG325" s="175"/>
      <c r="CH325" s="175"/>
      <c r="CI325" s="175"/>
      <c r="CJ325" s="175"/>
      <c r="CK325" s="175"/>
      <c r="CL325" s="175"/>
      <c r="CM325" s="175"/>
      <c r="CN325" s="175"/>
      <c r="CO325" s="175"/>
      <c r="CP325" s="175"/>
      <c r="CQ325" s="175"/>
      <c r="CR325" s="175"/>
      <c r="CS325" s="175"/>
      <c r="CT325" s="175"/>
      <c r="CU325" s="175"/>
      <c r="CV325" s="175"/>
      <c r="CW325" s="175"/>
      <c r="CX325" s="175"/>
      <c r="CY325" s="175"/>
      <c r="CZ325" s="175"/>
      <c r="DA325" s="175"/>
      <c r="DB325" s="175"/>
      <c r="DC325" s="175"/>
      <c r="DD325" s="175"/>
      <c r="DE325" s="175"/>
      <c r="DF325" s="175"/>
      <c r="DG325" s="175"/>
      <c r="DH325" s="175"/>
      <c r="DI325" s="175"/>
      <c r="DJ325" s="175"/>
      <c r="DK325" s="175"/>
      <c r="DL325" s="175"/>
      <c r="DM325" s="175"/>
      <c r="DN325" s="175"/>
      <c r="DO325" s="175"/>
      <c r="DP325" s="175"/>
      <c r="DQ325" s="175"/>
      <c r="DR325" s="175"/>
      <c r="DS325" s="175"/>
      <c r="DT325" s="175"/>
      <c r="DU325" s="175"/>
      <c r="DV325" s="175"/>
      <c r="DW325" s="175"/>
      <c r="DX325" s="175"/>
      <c r="DY325" s="175"/>
      <c r="DZ325" s="175"/>
      <c r="EA325" s="175"/>
      <c r="EB325" s="175"/>
      <c r="EC325" s="175"/>
      <c r="ED325" s="175"/>
      <c r="EE325" s="175"/>
      <c r="EF325" s="175"/>
      <c r="EG325" s="175"/>
      <c r="EH325" s="175"/>
      <c r="EI325" s="175"/>
      <c r="EJ325" s="175"/>
      <c r="EK325" s="175"/>
      <c r="EL325" s="175"/>
      <c r="EM325" s="175"/>
      <c r="EN325" s="175"/>
      <c r="EO325" s="175"/>
      <c r="EP325" s="175"/>
      <c r="EQ325" s="175"/>
      <c r="ER325" s="175"/>
      <c r="ES325" s="175"/>
      <c r="ET325" s="175"/>
      <c r="EU325" s="175"/>
      <c r="EV325" s="175"/>
      <c r="EW325" s="175"/>
      <c r="EX325" s="175"/>
      <c r="EY325" s="175"/>
      <c r="EZ325" s="175"/>
      <c r="FA325" s="175"/>
      <c r="FB325" s="175"/>
      <c r="FC325" s="175"/>
      <c r="FD325" s="175"/>
      <c r="FE325" s="175"/>
      <c r="FF325" s="175"/>
      <c r="FG325" s="175"/>
      <c r="FH325" s="175"/>
      <c r="FI325" s="175"/>
      <c r="FJ325" s="175"/>
      <c r="FK325" s="175"/>
      <c r="FL325" s="175"/>
      <c r="FM325" s="175"/>
      <c r="FN325" s="175"/>
      <c r="FO325" s="175"/>
      <c r="FP325" s="175"/>
      <c r="FQ325" s="175"/>
      <c r="FR325" s="175"/>
      <c r="FS325" s="175"/>
      <c r="FT325" s="175"/>
      <c r="FU325" s="175"/>
      <c r="FV325" s="175"/>
      <c r="FW325" s="175"/>
      <c r="FX325" s="175"/>
      <c r="FY325" s="175"/>
      <c r="FZ325" s="175"/>
      <c r="GA325" s="175"/>
      <c r="GB325" s="175"/>
      <c r="GC325" s="175"/>
      <c r="GD325" s="175"/>
      <c r="GE325" s="175"/>
      <c r="GF325" s="175"/>
      <c r="GG325" s="175"/>
      <c r="GH325" s="175"/>
      <c r="GI325" s="175"/>
      <c r="GJ325" s="175"/>
      <c r="GK325" s="175"/>
      <c r="GL325" s="175"/>
      <c r="GM325" s="175"/>
      <c r="GN325" s="175"/>
      <c r="GO325" s="175"/>
      <c r="GP325" s="175"/>
      <c r="GQ325" s="175"/>
      <c r="GR325" s="175"/>
      <c r="GS325" s="175"/>
      <c r="GT325" s="175"/>
      <c r="GU325" s="175"/>
      <c r="GV325" s="175"/>
      <c r="GW325" s="175"/>
      <c r="GX325" s="175"/>
      <c r="GY325" s="175"/>
      <c r="GZ325" s="175"/>
      <c r="HA325" s="175"/>
      <c r="HB325" s="175"/>
      <c r="HC325" s="175"/>
      <c r="HD325" s="175"/>
      <c r="HE325" s="175"/>
      <c r="HF325" s="175"/>
      <c r="HG325" s="175"/>
      <c r="HH325" s="175"/>
      <c r="HI325" s="175"/>
      <c r="HJ325" s="175"/>
      <c r="HK325" s="175"/>
      <c r="HL325" s="175"/>
      <c r="HM325" s="175"/>
      <c r="HN325" s="175"/>
      <c r="HO325" s="175"/>
      <c r="HP325" s="175"/>
      <c r="HQ325" s="175"/>
      <c r="HR325" s="175"/>
      <c r="HS325" s="175"/>
      <c r="HT325" s="175"/>
      <c r="HU325" s="175"/>
      <c r="HV325" s="175"/>
      <c r="HW325" s="175"/>
      <c r="HX325" s="175"/>
      <c r="HY325" s="175"/>
      <c r="HZ325" s="175"/>
      <c r="IA325" s="175"/>
      <c r="IB325" s="175"/>
      <c r="IC325" s="175"/>
      <c r="ID325" s="175"/>
      <c r="IE325" s="175"/>
      <c r="IF325" s="175"/>
      <c r="IG325" s="175"/>
      <c r="IH325" s="175"/>
      <c r="II325" s="175"/>
      <c r="IJ325" s="175"/>
      <c r="IK325" s="175"/>
      <c r="IL325" s="175"/>
      <c r="IM325" s="175"/>
      <c r="IN325" s="175"/>
      <c r="IO325" s="175"/>
      <c r="IP325" s="175"/>
      <c r="IQ325" s="175"/>
      <c r="IR325" s="175"/>
      <c r="IS325" s="175"/>
      <c r="IT325" s="175"/>
      <c r="IU325" s="175"/>
      <c r="IV325" s="175"/>
      <c r="IW325" s="175"/>
      <c r="IX325" s="175"/>
      <c r="IY325" s="175"/>
      <c r="IZ325" s="175"/>
      <c r="JA325" s="175"/>
      <c r="JB325" s="175"/>
      <c r="JC325" s="175"/>
      <c r="JD325" s="175"/>
      <c r="JE325" s="175"/>
      <c r="JF325" s="175"/>
      <c r="JG325" s="175"/>
      <c r="JH325" s="175"/>
      <c r="JI325" s="175"/>
      <c r="JJ325" s="175"/>
      <c r="JK325" s="175"/>
      <c r="JL325" s="175"/>
      <c r="JM325" s="175"/>
      <c r="JN325" s="175"/>
      <c r="JO325" s="175"/>
      <c r="JP325" s="175"/>
      <c r="JQ325" s="175"/>
      <c r="JR325" s="175"/>
      <c r="JS325" s="175"/>
      <c r="JT325" s="175"/>
      <c r="JU325" s="175"/>
      <c r="JV325" s="175"/>
      <c r="JW325" s="175"/>
      <c r="JX325" s="175"/>
      <c r="JY325" s="175"/>
      <c r="JZ325" s="175"/>
      <c r="KA325" s="175"/>
      <c r="KB325" s="175"/>
      <c r="KC325" s="175"/>
      <c r="KD325" s="175"/>
      <c r="KE325" s="175"/>
      <c r="KF325" s="175"/>
      <c r="KG325" s="175"/>
      <c r="KH325" s="175"/>
      <c r="KI325" s="175"/>
      <c r="KJ325" s="175"/>
      <c r="KK325" s="175"/>
      <c r="KL325" s="175"/>
      <c r="KM325" s="175"/>
      <c r="KN325" s="175"/>
      <c r="KO325" s="175"/>
      <c r="KP325" s="175"/>
      <c r="KQ325" s="175"/>
      <c r="KR325" s="175"/>
      <c r="KS325" s="175"/>
      <c r="KT325" s="175"/>
      <c r="KU325" s="175"/>
    </row>
    <row r="326" spans="1:307" x14ac:dyDescent="0.2">
      <c r="A326" s="172"/>
      <c r="B326" s="172"/>
      <c r="C326" s="172"/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72"/>
      <c r="Y326" s="172"/>
      <c r="Z326" s="172"/>
      <c r="AA326" s="172"/>
      <c r="AB326" s="172"/>
      <c r="AC326" s="172"/>
      <c r="AD326" s="172"/>
      <c r="AE326" s="172"/>
      <c r="AF326" s="172"/>
      <c r="AG326" s="172"/>
      <c r="AH326" s="172"/>
      <c r="AI326" s="172"/>
      <c r="AJ326" s="172"/>
      <c r="AK326" s="172"/>
      <c r="AL326" s="172"/>
      <c r="AM326" s="172"/>
      <c r="AN326" s="172"/>
      <c r="AO326" s="172"/>
      <c r="AP326" s="172"/>
      <c r="AQ326" s="172"/>
      <c r="AR326" s="172"/>
      <c r="AS326" s="172"/>
      <c r="AT326" s="172"/>
      <c r="AU326" s="172"/>
      <c r="AV326" s="172"/>
      <c r="AW326" s="172"/>
      <c r="AX326" s="172"/>
      <c r="AY326" s="172"/>
      <c r="AZ326" s="172"/>
      <c r="BA326" s="172"/>
      <c r="BB326" s="172"/>
      <c r="BC326" s="172"/>
      <c r="BD326" s="172"/>
      <c r="BE326" s="172"/>
      <c r="BF326" s="172"/>
      <c r="BG326" s="172"/>
      <c r="BH326" s="172"/>
      <c r="BI326" s="172"/>
      <c r="BJ326" s="172"/>
      <c r="BK326" s="172"/>
      <c r="BL326" s="172"/>
      <c r="BM326" s="172"/>
      <c r="BN326" s="172"/>
      <c r="BO326" s="172"/>
      <c r="BP326" s="172"/>
      <c r="BQ326" s="172"/>
      <c r="BR326" s="172"/>
      <c r="BS326" s="172"/>
      <c r="BT326" s="172"/>
      <c r="BU326" s="172"/>
      <c r="BV326" s="172"/>
      <c r="BW326" s="172"/>
      <c r="BX326" s="175"/>
      <c r="BY326" s="175"/>
      <c r="BZ326" s="175"/>
      <c r="CA326" s="175"/>
      <c r="CB326" s="175"/>
      <c r="CC326" s="175"/>
      <c r="CD326" s="175"/>
      <c r="CE326" s="175"/>
      <c r="CF326" s="175"/>
      <c r="CG326" s="175"/>
      <c r="CH326" s="175"/>
      <c r="CI326" s="175"/>
      <c r="CJ326" s="175"/>
      <c r="CK326" s="175"/>
      <c r="CL326" s="175"/>
      <c r="CM326" s="175"/>
      <c r="CN326" s="175"/>
      <c r="CO326" s="175"/>
      <c r="CP326" s="175"/>
      <c r="CQ326" s="175"/>
      <c r="CR326" s="175"/>
      <c r="CS326" s="175"/>
      <c r="CT326" s="175"/>
      <c r="CU326" s="175"/>
      <c r="CV326" s="175"/>
      <c r="CW326" s="175"/>
      <c r="CX326" s="175"/>
      <c r="CY326" s="175"/>
      <c r="CZ326" s="175"/>
      <c r="DA326" s="175"/>
      <c r="DB326" s="175"/>
      <c r="DC326" s="175"/>
      <c r="DD326" s="175"/>
      <c r="DE326" s="175"/>
      <c r="DF326" s="175"/>
      <c r="DG326" s="175"/>
      <c r="DH326" s="175"/>
      <c r="DI326" s="175"/>
      <c r="DJ326" s="175"/>
      <c r="DK326" s="175"/>
      <c r="DL326" s="175"/>
      <c r="DM326" s="175"/>
      <c r="DN326" s="175"/>
      <c r="DO326" s="175"/>
      <c r="DP326" s="175"/>
      <c r="DQ326" s="175"/>
      <c r="DR326" s="175"/>
      <c r="DS326" s="175"/>
      <c r="DT326" s="175"/>
      <c r="DU326" s="175"/>
      <c r="DV326" s="175"/>
      <c r="DW326" s="175"/>
      <c r="DX326" s="175"/>
      <c r="DY326" s="175"/>
      <c r="DZ326" s="175"/>
      <c r="EA326" s="175"/>
      <c r="EB326" s="175"/>
      <c r="EC326" s="175"/>
      <c r="ED326" s="175"/>
      <c r="EE326" s="175"/>
      <c r="EF326" s="175"/>
      <c r="EG326" s="175"/>
      <c r="EH326" s="175"/>
      <c r="EI326" s="175"/>
      <c r="EJ326" s="175"/>
      <c r="EK326" s="175"/>
      <c r="EL326" s="175"/>
      <c r="EM326" s="175"/>
      <c r="EN326" s="175"/>
      <c r="EO326" s="175"/>
      <c r="EP326" s="175"/>
      <c r="EQ326" s="175"/>
      <c r="ER326" s="175"/>
      <c r="ES326" s="175"/>
      <c r="ET326" s="175"/>
      <c r="EU326" s="175"/>
      <c r="EV326" s="175"/>
      <c r="EW326" s="175"/>
      <c r="EX326" s="175"/>
      <c r="EY326" s="175"/>
      <c r="EZ326" s="175"/>
      <c r="FA326" s="175"/>
      <c r="FB326" s="175"/>
      <c r="FC326" s="175"/>
      <c r="FD326" s="175"/>
      <c r="FE326" s="175"/>
      <c r="FF326" s="175"/>
      <c r="FG326" s="175"/>
      <c r="FH326" s="175"/>
      <c r="FI326" s="175"/>
      <c r="FJ326" s="175"/>
      <c r="FK326" s="175"/>
      <c r="FL326" s="175"/>
      <c r="FM326" s="175"/>
      <c r="FN326" s="175"/>
      <c r="FO326" s="175"/>
      <c r="FP326" s="175"/>
      <c r="FQ326" s="175"/>
      <c r="FR326" s="175"/>
      <c r="FS326" s="175"/>
      <c r="FT326" s="175"/>
      <c r="FU326" s="175"/>
      <c r="FV326" s="175"/>
      <c r="FW326" s="175"/>
      <c r="FX326" s="175"/>
      <c r="FY326" s="175"/>
      <c r="FZ326" s="175"/>
      <c r="GA326" s="175"/>
      <c r="GB326" s="175"/>
      <c r="GC326" s="175"/>
      <c r="GD326" s="175"/>
      <c r="GE326" s="175"/>
      <c r="GF326" s="175"/>
      <c r="GG326" s="175"/>
      <c r="GH326" s="175"/>
      <c r="GI326" s="175"/>
      <c r="GJ326" s="175"/>
      <c r="GK326" s="175"/>
      <c r="GL326" s="175"/>
      <c r="GM326" s="175"/>
      <c r="GN326" s="175"/>
      <c r="GO326" s="175"/>
      <c r="GP326" s="175"/>
      <c r="GQ326" s="175"/>
      <c r="GR326" s="175"/>
      <c r="GS326" s="175"/>
      <c r="GT326" s="175"/>
      <c r="GU326" s="175"/>
      <c r="GV326" s="175"/>
      <c r="GW326" s="175"/>
      <c r="GX326" s="175"/>
      <c r="GY326" s="175"/>
      <c r="GZ326" s="175"/>
      <c r="HA326" s="175"/>
      <c r="HB326" s="175"/>
      <c r="HC326" s="175"/>
      <c r="HD326" s="175"/>
      <c r="HE326" s="175"/>
      <c r="HF326" s="175"/>
      <c r="HG326" s="175"/>
      <c r="HH326" s="175"/>
      <c r="HI326" s="175"/>
      <c r="HJ326" s="175"/>
      <c r="HK326" s="175"/>
      <c r="HL326" s="175"/>
      <c r="HM326" s="175"/>
      <c r="HN326" s="175"/>
      <c r="HO326" s="175"/>
      <c r="HP326" s="175"/>
      <c r="HQ326" s="175"/>
      <c r="HR326" s="175"/>
      <c r="HS326" s="175"/>
      <c r="HT326" s="175"/>
      <c r="HU326" s="175"/>
      <c r="HV326" s="175"/>
      <c r="HW326" s="175"/>
      <c r="HX326" s="175"/>
      <c r="HY326" s="175"/>
      <c r="HZ326" s="175"/>
      <c r="IA326" s="175"/>
      <c r="IB326" s="175"/>
      <c r="IC326" s="175"/>
      <c r="ID326" s="175"/>
      <c r="IE326" s="175"/>
      <c r="IF326" s="175"/>
      <c r="IG326" s="175"/>
      <c r="IH326" s="175"/>
      <c r="II326" s="175"/>
      <c r="IJ326" s="175"/>
      <c r="IK326" s="175"/>
      <c r="IL326" s="175"/>
      <c r="IM326" s="175"/>
      <c r="IN326" s="175"/>
      <c r="IO326" s="175"/>
      <c r="IP326" s="175"/>
      <c r="IQ326" s="175"/>
      <c r="IR326" s="175"/>
      <c r="IS326" s="175"/>
      <c r="IT326" s="175"/>
      <c r="IU326" s="175"/>
      <c r="IV326" s="175"/>
      <c r="IW326" s="175"/>
      <c r="IX326" s="175"/>
      <c r="IY326" s="175"/>
      <c r="IZ326" s="175"/>
      <c r="JA326" s="175"/>
      <c r="JB326" s="175"/>
      <c r="JC326" s="175"/>
      <c r="JD326" s="175"/>
      <c r="JE326" s="175"/>
      <c r="JF326" s="175"/>
      <c r="JG326" s="175"/>
      <c r="JH326" s="175"/>
      <c r="JI326" s="175"/>
      <c r="JJ326" s="175"/>
      <c r="JK326" s="175"/>
      <c r="JL326" s="175"/>
      <c r="JM326" s="175"/>
      <c r="JN326" s="175"/>
      <c r="JO326" s="175"/>
      <c r="JP326" s="175"/>
      <c r="JQ326" s="175"/>
      <c r="JR326" s="175"/>
      <c r="JS326" s="175"/>
      <c r="JT326" s="175"/>
      <c r="JU326" s="175"/>
      <c r="JV326" s="175"/>
      <c r="JW326" s="175"/>
      <c r="JX326" s="175"/>
      <c r="JY326" s="175"/>
      <c r="JZ326" s="175"/>
      <c r="KA326" s="175"/>
      <c r="KB326" s="175"/>
      <c r="KC326" s="175"/>
      <c r="KD326" s="175"/>
      <c r="KE326" s="175"/>
      <c r="KF326" s="175"/>
      <c r="KG326" s="175"/>
      <c r="KH326" s="175"/>
      <c r="KI326" s="175"/>
      <c r="KJ326" s="175"/>
      <c r="KK326" s="175"/>
      <c r="KL326" s="175"/>
      <c r="KM326" s="175"/>
      <c r="KN326" s="175"/>
      <c r="KO326" s="175"/>
      <c r="KP326" s="175"/>
      <c r="KQ326" s="175"/>
      <c r="KR326" s="175"/>
      <c r="KS326" s="175"/>
      <c r="KT326" s="175"/>
      <c r="KU326" s="175"/>
    </row>
    <row r="327" spans="1:307" x14ac:dyDescent="0.2">
      <c r="A327" s="172"/>
      <c r="B327" s="172"/>
      <c r="C327" s="172"/>
      <c r="D327" s="172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  <c r="AP327" s="172"/>
      <c r="AQ327" s="172"/>
      <c r="AR327" s="172"/>
      <c r="AS327" s="172"/>
      <c r="AT327" s="172"/>
      <c r="AU327" s="172"/>
      <c r="AV327" s="172"/>
      <c r="AW327" s="172"/>
      <c r="AX327" s="172"/>
      <c r="AY327" s="172"/>
      <c r="AZ327" s="172"/>
      <c r="BA327" s="172"/>
      <c r="BB327" s="172"/>
      <c r="BC327" s="172"/>
      <c r="BD327" s="172"/>
      <c r="BE327" s="172"/>
      <c r="BF327" s="172"/>
      <c r="BG327" s="172"/>
      <c r="BH327" s="172"/>
      <c r="BI327" s="172"/>
      <c r="BJ327" s="172"/>
      <c r="BK327" s="172"/>
      <c r="BL327" s="172"/>
      <c r="BM327" s="172"/>
      <c r="BN327" s="172"/>
      <c r="BO327" s="172"/>
      <c r="BP327" s="172"/>
      <c r="BQ327" s="172"/>
      <c r="BR327" s="172"/>
      <c r="BS327" s="172"/>
      <c r="BT327" s="172"/>
      <c r="BU327" s="172"/>
      <c r="BV327" s="172"/>
      <c r="BW327" s="172"/>
      <c r="BX327" s="175"/>
      <c r="BY327" s="175"/>
      <c r="BZ327" s="175"/>
      <c r="CA327" s="175"/>
      <c r="CB327" s="175"/>
      <c r="CC327" s="175"/>
      <c r="CD327" s="175"/>
      <c r="CE327" s="175"/>
      <c r="CF327" s="175"/>
      <c r="CG327" s="175"/>
      <c r="CH327" s="175"/>
      <c r="CI327" s="175"/>
      <c r="CJ327" s="175"/>
      <c r="CK327" s="175"/>
      <c r="CL327" s="175"/>
      <c r="CM327" s="175"/>
      <c r="CN327" s="175"/>
      <c r="CO327" s="175"/>
      <c r="CP327" s="175"/>
      <c r="CQ327" s="175"/>
      <c r="CR327" s="175"/>
      <c r="CS327" s="175"/>
      <c r="CT327" s="175"/>
      <c r="CU327" s="175"/>
      <c r="CV327" s="175"/>
      <c r="CW327" s="175"/>
      <c r="CX327" s="175"/>
      <c r="CY327" s="175"/>
      <c r="CZ327" s="175"/>
      <c r="DA327" s="175"/>
      <c r="DB327" s="175"/>
      <c r="DC327" s="175"/>
      <c r="DD327" s="175"/>
      <c r="DE327" s="175"/>
      <c r="DF327" s="175"/>
      <c r="DG327" s="175"/>
      <c r="DH327" s="175"/>
      <c r="DI327" s="175"/>
      <c r="DJ327" s="175"/>
      <c r="DK327" s="175"/>
      <c r="DL327" s="175"/>
      <c r="DM327" s="175"/>
      <c r="DN327" s="175"/>
      <c r="DO327" s="175"/>
      <c r="DP327" s="175"/>
      <c r="DQ327" s="175"/>
      <c r="DR327" s="175"/>
      <c r="DS327" s="175"/>
      <c r="DT327" s="175"/>
      <c r="DU327" s="175"/>
      <c r="DV327" s="175"/>
      <c r="DW327" s="175"/>
      <c r="DX327" s="175"/>
      <c r="DY327" s="175"/>
      <c r="DZ327" s="175"/>
      <c r="EA327" s="175"/>
      <c r="EB327" s="175"/>
      <c r="EC327" s="175"/>
      <c r="ED327" s="175"/>
      <c r="EE327" s="175"/>
      <c r="EF327" s="175"/>
      <c r="EG327" s="175"/>
      <c r="EH327" s="175"/>
      <c r="EI327" s="175"/>
      <c r="EJ327" s="175"/>
      <c r="EK327" s="175"/>
      <c r="EL327" s="175"/>
      <c r="EM327" s="175"/>
      <c r="EN327" s="175"/>
      <c r="EO327" s="175"/>
      <c r="EP327" s="175"/>
      <c r="EQ327" s="175"/>
      <c r="ER327" s="175"/>
      <c r="ES327" s="175"/>
      <c r="ET327" s="175"/>
      <c r="EU327" s="175"/>
      <c r="EV327" s="175"/>
      <c r="EW327" s="175"/>
      <c r="EX327" s="175"/>
      <c r="EY327" s="175"/>
      <c r="EZ327" s="175"/>
      <c r="FA327" s="175"/>
      <c r="FB327" s="175"/>
      <c r="FC327" s="175"/>
      <c r="FD327" s="175"/>
      <c r="FE327" s="175"/>
      <c r="FF327" s="175"/>
      <c r="FG327" s="175"/>
      <c r="FH327" s="175"/>
      <c r="FI327" s="175"/>
      <c r="FJ327" s="175"/>
      <c r="FK327" s="175"/>
      <c r="FL327" s="175"/>
      <c r="FM327" s="175"/>
      <c r="FN327" s="175"/>
      <c r="FO327" s="175"/>
      <c r="FP327" s="175"/>
      <c r="FQ327" s="175"/>
      <c r="FR327" s="175"/>
      <c r="FS327" s="175"/>
      <c r="FT327" s="175"/>
      <c r="FU327" s="175"/>
      <c r="FV327" s="175"/>
      <c r="FW327" s="175"/>
      <c r="FX327" s="175"/>
      <c r="FY327" s="175"/>
      <c r="FZ327" s="175"/>
      <c r="GA327" s="175"/>
      <c r="GB327" s="175"/>
      <c r="GC327" s="175"/>
      <c r="GD327" s="175"/>
      <c r="GE327" s="175"/>
      <c r="GF327" s="175"/>
      <c r="GG327" s="175"/>
      <c r="GH327" s="175"/>
      <c r="GI327" s="175"/>
      <c r="GJ327" s="175"/>
      <c r="GK327" s="175"/>
      <c r="GL327" s="175"/>
      <c r="GM327" s="175"/>
      <c r="GN327" s="175"/>
      <c r="GO327" s="175"/>
      <c r="GP327" s="175"/>
      <c r="GQ327" s="175"/>
      <c r="GR327" s="175"/>
      <c r="GS327" s="175"/>
      <c r="GT327" s="175"/>
      <c r="GU327" s="175"/>
      <c r="GV327" s="175"/>
      <c r="GW327" s="175"/>
      <c r="GX327" s="175"/>
      <c r="GY327" s="175"/>
      <c r="GZ327" s="175"/>
      <c r="HA327" s="175"/>
      <c r="HB327" s="175"/>
      <c r="HC327" s="175"/>
      <c r="HD327" s="175"/>
      <c r="HE327" s="175"/>
      <c r="HF327" s="175"/>
      <c r="HG327" s="175"/>
      <c r="HH327" s="175"/>
      <c r="HI327" s="175"/>
      <c r="HJ327" s="175"/>
      <c r="HK327" s="175"/>
      <c r="HL327" s="175"/>
      <c r="HM327" s="175"/>
      <c r="HN327" s="175"/>
      <c r="HO327" s="175"/>
      <c r="HP327" s="175"/>
      <c r="HQ327" s="175"/>
      <c r="HR327" s="175"/>
      <c r="HS327" s="175"/>
      <c r="HT327" s="175"/>
      <c r="HU327" s="175"/>
      <c r="HV327" s="175"/>
      <c r="HW327" s="175"/>
      <c r="HX327" s="175"/>
      <c r="HY327" s="175"/>
      <c r="HZ327" s="175"/>
      <c r="IA327" s="175"/>
      <c r="IB327" s="175"/>
      <c r="IC327" s="175"/>
      <c r="ID327" s="175"/>
      <c r="IE327" s="175"/>
      <c r="IF327" s="175"/>
      <c r="IG327" s="175"/>
      <c r="IH327" s="175"/>
      <c r="II327" s="175"/>
      <c r="IJ327" s="175"/>
      <c r="IK327" s="175"/>
      <c r="IL327" s="175"/>
      <c r="IM327" s="175"/>
      <c r="IN327" s="175"/>
      <c r="IO327" s="175"/>
      <c r="IP327" s="175"/>
      <c r="IQ327" s="175"/>
      <c r="IR327" s="175"/>
      <c r="IS327" s="175"/>
      <c r="IT327" s="175"/>
      <c r="IU327" s="175"/>
      <c r="IV327" s="175"/>
      <c r="IW327" s="175"/>
      <c r="IX327" s="175"/>
      <c r="IY327" s="175"/>
      <c r="IZ327" s="175"/>
      <c r="JA327" s="175"/>
      <c r="JB327" s="175"/>
      <c r="JC327" s="175"/>
      <c r="JD327" s="175"/>
      <c r="JE327" s="175"/>
      <c r="JF327" s="175"/>
      <c r="JG327" s="175"/>
      <c r="JH327" s="175"/>
      <c r="JI327" s="175"/>
      <c r="JJ327" s="175"/>
      <c r="JK327" s="175"/>
      <c r="JL327" s="175"/>
      <c r="JM327" s="175"/>
      <c r="JN327" s="175"/>
      <c r="JO327" s="175"/>
      <c r="JP327" s="175"/>
      <c r="JQ327" s="175"/>
      <c r="JR327" s="175"/>
      <c r="JS327" s="175"/>
      <c r="JT327" s="175"/>
      <c r="JU327" s="175"/>
      <c r="JV327" s="175"/>
      <c r="JW327" s="175"/>
      <c r="JX327" s="175"/>
      <c r="JY327" s="175"/>
      <c r="JZ327" s="175"/>
      <c r="KA327" s="175"/>
      <c r="KB327" s="175"/>
      <c r="KC327" s="175"/>
      <c r="KD327" s="175"/>
      <c r="KE327" s="175"/>
      <c r="KF327" s="175"/>
      <c r="KG327" s="175"/>
      <c r="KH327" s="175"/>
      <c r="KI327" s="175"/>
      <c r="KJ327" s="175"/>
      <c r="KK327" s="175"/>
      <c r="KL327" s="175"/>
      <c r="KM327" s="175"/>
      <c r="KN327" s="175"/>
      <c r="KO327" s="175"/>
      <c r="KP327" s="175"/>
      <c r="KQ327" s="175"/>
      <c r="KR327" s="175"/>
      <c r="KS327" s="175"/>
      <c r="KT327" s="175"/>
      <c r="KU327" s="175"/>
    </row>
    <row r="328" spans="1:307" x14ac:dyDescent="0.2">
      <c r="A328" s="172"/>
      <c r="B328" s="172"/>
      <c r="C328" s="172"/>
      <c r="D328" s="172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  <c r="AA328" s="172"/>
      <c r="AB328" s="172"/>
      <c r="AC328" s="172"/>
      <c r="AD328" s="172"/>
      <c r="AE328" s="172"/>
      <c r="AF328" s="172"/>
      <c r="AG328" s="172"/>
      <c r="AH328" s="172"/>
      <c r="AI328" s="172"/>
      <c r="AJ328" s="172"/>
      <c r="AK328" s="172"/>
      <c r="AL328" s="172"/>
      <c r="AM328" s="172"/>
      <c r="AN328" s="172"/>
      <c r="AO328" s="172"/>
      <c r="AP328" s="172"/>
      <c r="AQ328" s="172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172"/>
      <c r="BD328" s="172"/>
      <c r="BE328" s="172"/>
      <c r="BF328" s="172"/>
      <c r="BG328" s="172"/>
      <c r="BH328" s="172"/>
      <c r="BI328" s="172"/>
      <c r="BJ328" s="172"/>
      <c r="BK328" s="172"/>
      <c r="BL328" s="172"/>
      <c r="BM328" s="172"/>
      <c r="BN328" s="172"/>
      <c r="BO328" s="172"/>
      <c r="BP328" s="172"/>
      <c r="BQ328" s="172"/>
      <c r="BR328" s="172"/>
      <c r="BS328" s="172"/>
      <c r="BT328" s="172"/>
      <c r="BU328" s="172"/>
      <c r="BV328" s="172"/>
      <c r="BW328" s="172"/>
      <c r="BX328" s="175"/>
      <c r="BY328" s="175"/>
      <c r="BZ328" s="175"/>
      <c r="CA328" s="175"/>
      <c r="CB328" s="175"/>
      <c r="CC328" s="175"/>
      <c r="CD328" s="175"/>
      <c r="CE328" s="175"/>
      <c r="CF328" s="175"/>
      <c r="CG328" s="175"/>
      <c r="CH328" s="175"/>
      <c r="CI328" s="175"/>
      <c r="CJ328" s="175"/>
      <c r="CK328" s="175"/>
      <c r="CL328" s="175"/>
      <c r="CM328" s="175"/>
      <c r="CN328" s="175"/>
      <c r="CO328" s="175"/>
      <c r="CP328" s="175"/>
      <c r="CQ328" s="175"/>
      <c r="CR328" s="175"/>
      <c r="CS328" s="175"/>
      <c r="CT328" s="175"/>
      <c r="CU328" s="175"/>
      <c r="CV328" s="175"/>
      <c r="CW328" s="175"/>
      <c r="CX328" s="175"/>
      <c r="CY328" s="175"/>
      <c r="CZ328" s="175"/>
      <c r="DA328" s="175"/>
      <c r="DB328" s="175"/>
      <c r="DC328" s="175"/>
      <c r="DD328" s="175"/>
      <c r="DE328" s="175"/>
      <c r="DF328" s="175"/>
      <c r="DG328" s="175"/>
      <c r="DH328" s="175"/>
      <c r="DI328" s="175"/>
      <c r="DJ328" s="175"/>
      <c r="DK328" s="175"/>
      <c r="DL328" s="175"/>
      <c r="DM328" s="175"/>
      <c r="DN328" s="175"/>
      <c r="DO328" s="175"/>
      <c r="DP328" s="175"/>
      <c r="DQ328" s="175"/>
      <c r="DR328" s="175"/>
      <c r="DS328" s="175"/>
      <c r="DT328" s="175"/>
      <c r="DU328" s="175"/>
      <c r="DV328" s="175"/>
      <c r="DW328" s="175"/>
      <c r="DX328" s="175"/>
      <c r="DY328" s="175"/>
      <c r="DZ328" s="175"/>
      <c r="EA328" s="175"/>
      <c r="EB328" s="175"/>
      <c r="EC328" s="175"/>
      <c r="ED328" s="175"/>
      <c r="EE328" s="175"/>
      <c r="EF328" s="175"/>
      <c r="EG328" s="175"/>
      <c r="EH328" s="175"/>
      <c r="EI328" s="175"/>
      <c r="EJ328" s="175"/>
      <c r="EK328" s="175"/>
      <c r="EL328" s="175"/>
      <c r="EM328" s="175"/>
      <c r="EN328" s="175"/>
      <c r="EO328" s="175"/>
      <c r="EP328" s="175"/>
      <c r="EQ328" s="175"/>
      <c r="ER328" s="175"/>
      <c r="ES328" s="175"/>
      <c r="ET328" s="175"/>
      <c r="EU328" s="175"/>
      <c r="EV328" s="175"/>
      <c r="EW328" s="175"/>
      <c r="EX328" s="175"/>
      <c r="EY328" s="175"/>
      <c r="EZ328" s="175"/>
      <c r="FA328" s="175"/>
      <c r="FB328" s="175"/>
      <c r="FC328" s="175"/>
      <c r="FD328" s="175"/>
      <c r="FE328" s="175"/>
      <c r="FF328" s="175"/>
      <c r="FG328" s="175"/>
      <c r="FH328" s="175"/>
      <c r="FI328" s="175"/>
      <c r="FJ328" s="175"/>
      <c r="FK328" s="175"/>
      <c r="FL328" s="175"/>
      <c r="FM328" s="175"/>
      <c r="FN328" s="175"/>
      <c r="FO328" s="175"/>
      <c r="FP328" s="175"/>
      <c r="FQ328" s="175"/>
      <c r="FR328" s="175"/>
      <c r="FS328" s="175"/>
      <c r="FT328" s="175"/>
      <c r="FU328" s="175"/>
      <c r="FV328" s="175"/>
      <c r="FW328" s="175"/>
      <c r="FX328" s="175"/>
      <c r="FY328" s="175"/>
      <c r="FZ328" s="175"/>
      <c r="GA328" s="175"/>
      <c r="GB328" s="175"/>
      <c r="GC328" s="175"/>
      <c r="GD328" s="175"/>
      <c r="GE328" s="175"/>
      <c r="GF328" s="175"/>
      <c r="GG328" s="175"/>
      <c r="GH328" s="175"/>
      <c r="GI328" s="175"/>
      <c r="GJ328" s="175"/>
      <c r="GK328" s="175"/>
      <c r="GL328" s="175"/>
      <c r="GM328" s="175"/>
      <c r="GN328" s="175"/>
      <c r="GO328" s="175"/>
      <c r="GP328" s="175"/>
      <c r="GQ328" s="175"/>
      <c r="GR328" s="175"/>
      <c r="GS328" s="175"/>
      <c r="GT328" s="175"/>
      <c r="GU328" s="175"/>
      <c r="GV328" s="175"/>
      <c r="GW328" s="175"/>
      <c r="GX328" s="175"/>
      <c r="GY328" s="175"/>
      <c r="GZ328" s="175"/>
      <c r="HA328" s="175"/>
      <c r="HB328" s="175"/>
      <c r="HC328" s="175"/>
      <c r="HD328" s="175"/>
      <c r="HE328" s="175"/>
      <c r="HF328" s="175"/>
      <c r="HG328" s="175"/>
      <c r="HH328" s="175"/>
      <c r="HI328" s="175"/>
      <c r="HJ328" s="175"/>
      <c r="HK328" s="175"/>
      <c r="HL328" s="175"/>
      <c r="HM328" s="175"/>
      <c r="HN328" s="175"/>
      <c r="HO328" s="175"/>
      <c r="HP328" s="175"/>
      <c r="HQ328" s="175"/>
      <c r="HR328" s="175"/>
      <c r="HS328" s="175"/>
      <c r="HT328" s="175"/>
      <c r="HU328" s="175"/>
      <c r="HV328" s="175"/>
      <c r="HW328" s="175"/>
      <c r="HX328" s="175"/>
      <c r="HY328" s="175"/>
      <c r="HZ328" s="175"/>
      <c r="IA328" s="175"/>
      <c r="IB328" s="175"/>
      <c r="IC328" s="175"/>
      <c r="ID328" s="175"/>
      <c r="IE328" s="175"/>
      <c r="IF328" s="175"/>
      <c r="IG328" s="175"/>
      <c r="IH328" s="175"/>
      <c r="II328" s="175"/>
      <c r="IJ328" s="175"/>
      <c r="IK328" s="175"/>
      <c r="IL328" s="175"/>
      <c r="IM328" s="175"/>
      <c r="IN328" s="175"/>
      <c r="IO328" s="175"/>
      <c r="IP328" s="175"/>
      <c r="IQ328" s="175"/>
      <c r="IR328" s="175"/>
      <c r="IS328" s="175"/>
      <c r="IT328" s="175"/>
      <c r="IU328" s="175"/>
      <c r="IV328" s="175"/>
      <c r="IW328" s="175"/>
      <c r="IX328" s="175"/>
      <c r="IY328" s="175"/>
      <c r="IZ328" s="175"/>
      <c r="JA328" s="175"/>
      <c r="JB328" s="175"/>
      <c r="JC328" s="175"/>
      <c r="JD328" s="175"/>
      <c r="JE328" s="175"/>
      <c r="JF328" s="175"/>
      <c r="JG328" s="175"/>
      <c r="JH328" s="175"/>
      <c r="JI328" s="175"/>
      <c r="JJ328" s="175"/>
      <c r="JK328" s="175"/>
      <c r="JL328" s="175"/>
      <c r="JM328" s="175"/>
      <c r="JN328" s="175"/>
      <c r="JO328" s="175"/>
      <c r="JP328" s="175"/>
      <c r="JQ328" s="175"/>
      <c r="JR328" s="175"/>
      <c r="JS328" s="175"/>
      <c r="JT328" s="175"/>
      <c r="JU328" s="175"/>
      <c r="JV328" s="175"/>
      <c r="JW328" s="175"/>
      <c r="JX328" s="175"/>
      <c r="JY328" s="175"/>
      <c r="JZ328" s="175"/>
      <c r="KA328" s="175"/>
      <c r="KB328" s="175"/>
      <c r="KC328" s="175"/>
      <c r="KD328" s="175"/>
      <c r="KE328" s="175"/>
      <c r="KF328" s="175"/>
      <c r="KG328" s="175"/>
      <c r="KH328" s="175"/>
      <c r="KI328" s="175"/>
      <c r="KJ328" s="175"/>
      <c r="KK328" s="175"/>
      <c r="KL328" s="175"/>
      <c r="KM328" s="175"/>
      <c r="KN328" s="175"/>
      <c r="KO328" s="175"/>
      <c r="KP328" s="175"/>
      <c r="KQ328" s="175"/>
      <c r="KR328" s="175"/>
      <c r="KS328" s="175"/>
      <c r="KT328" s="175"/>
      <c r="KU328" s="175"/>
    </row>
    <row r="329" spans="1:307" x14ac:dyDescent="0.2">
      <c r="A329" s="172"/>
      <c r="B329" s="172"/>
      <c r="C329" s="172"/>
      <c r="D329" s="172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  <c r="AP329" s="172"/>
      <c r="AQ329" s="172"/>
      <c r="AR329" s="172"/>
      <c r="AS329" s="172"/>
      <c r="AT329" s="172"/>
      <c r="AU329" s="172"/>
      <c r="AV329" s="172"/>
      <c r="AW329" s="172"/>
      <c r="AX329" s="172"/>
      <c r="AY329" s="172"/>
      <c r="AZ329" s="172"/>
      <c r="BA329" s="172"/>
      <c r="BB329" s="172"/>
      <c r="BC329" s="172"/>
      <c r="BD329" s="172"/>
      <c r="BE329" s="172"/>
      <c r="BF329" s="172"/>
      <c r="BG329" s="172"/>
      <c r="BH329" s="172"/>
      <c r="BI329" s="172"/>
      <c r="BJ329" s="172"/>
      <c r="BK329" s="172"/>
      <c r="BL329" s="172"/>
      <c r="BM329" s="172"/>
      <c r="BN329" s="172"/>
      <c r="BO329" s="172"/>
      <c r="BP329" s="172"/>
      <c r="BQ329" s="172"/>
      <c r="BR329" s="172"/>
      <c r="BS329" s="172"/>
      <c r="BT329" s="172"/>
      <c r="BU329" s="172"/>
      <c r="BV329" s="172"/>
      <c r="BW329" s="172"/>
      <c r="BX329" s="175"/>
      <c r="BY329" s="175"/>
      <c r="BZ329" s="175"/>
      <c r="CA329" s="175"/>
      <c r="CB329" s="175"/>
      <c r="CC329" s="175"/>
      <c r="CD329" s="175"/>
      <c r="CE329" s="175"/>
      <c r="CF329" s="175"/>
      <c r="CG329" s="175"/>
      <c r="CH329" s="175"/>
      <c r="CI329" s="175"/>
      <c r="CJ329" s="175"/>
      <c r="CK329" s="175"/>
      <c r="CL329" s="175"/>
      <c r="CM329" s="175"/>
      <c r="CN329" s="175"/>
      <c r="CO329" s="175"/>
      <c r="CP329" s="175"/>
      <c r="CQ329" s="175"/>
      <c r="CR329" s="175"/>
      <c r="CS329" s="175"/>
      <c r="CT329" s="175"/>
      <c r="CU329" s="175"/>
      <c r="CV329" s="175"/>
      <c r="CW329" s="175"/>
      <c r="CX329" s="175"/>
      <c r="CY329" s="175"/>
      <c r="CZ329" s="175"/>
      <c r="DA329" s="175"/>
      <c r="DB329" s="175"/>
      <c r="DC329" s="175"/>
      <c r="DD329" s="175"/>
      <c r="DE329" s="175"/>
      <c r="DF329" s="175"/>
      <c r="DG329" s="175"/>
      <c r="DH329" s="175"/>
      <c r="DI329" s="175"/>
      <c r="DJ329" s="175"/>
      <c r="DK329" s="175"/>
      <c r="DL329" s="175"/>
      <c r="DM329" s="175"/>
      <c r="DN329" s="175"/>
      <c r="DO329" s="175"/>
      <c r="DP329" s="175"/>
      <c r="DQ329" s="175"/>
      <c r="DR329" s="175"/>
      <c r="DS329" s="175"/>
      <c r="DT329" s="175"/>
      <c r="DU329" s="175"/>
      <c r="DV329" s="175"/>
      <c r="DW329" s="175"/>
      <c r="DX329" s="175"/>
      <c r="DY329" s="175"/>
      <c r="DZ329" s="175"/>
      <c r="EA329" s="175"/>
      <c r="EB329" s="175"/>
      <c r="EC329" s="175"/>
      <c r="ED329" s="175"/>
      <c r="EE329" s="175"/>
      <c r="EF329" s="175"/>
      <c r="EG329" s="175"/>
      <c r="EH329" s="175"/>
      <c r="EI329" s="175"/>
      <c r="EJ329" s="175"/>
      <c r="EK329" s="175"/>
      <c r="EL329" s="175"/>
      <c r="EM329" s="175"/>
      <c r="EN329" s="175"/>
      <c r="EO329" s="175"/>
      <c r="EP329" s="175"/>
      <c r="EQ329" s="175"/>
      <c r="ER329" s="175"/>
      <c r="ES329" s="175"/>
      <c r="ET329" s="175"/>
      <c r="EU329" s="175"/>
      <c r="EV329" s="175"/>
      <c r="EW329" s="175"/>
      <c r="EX329" s="175"/>
      <c r="EY329" s="175"/>
      <c r="EZ329" s="175"/>
      <c r="FA329" s="175"/>
      <c r="FB329" s="175"/>
      <c r="FC329" s="175"/>
      <c r="FD329" s="175"/>
      <c r="FE329" s="175"/>
      <c r="FF329" s="175"/>
      <c r="FG329" s="175"/>
      <c r="FH329" s="175"/>
      <c r="FI329" s="175"/>
      <c r="FJ329" s="175"/>
      <c r="FK329" s="175"/>
      <c r="FL329" s="175"/>
      <c r="FM329" s="175"/>
      <c r="FN329" s="175"/>
      <c r="FO329" s="175"/>
      <c r="FP329" s="175"/>
      <c r="FQ329" s="175"/>
      <c r="FR329" s="175"/>
      <c r="FS329" s="175"/>
      <c r="FT329" s="175"/>
      <c r="FU329" s="175"/>
      <c r="FV329" s="175"/>
      <c r="FW329" s="175"/>
      <c r="FX329" s="175"/>
      <c r="FY329" s="175"/>
      <c r="FZ329" s="175"/>
      <c r="GA329" s="175"/>
      <c r="GB329" s="175"/>
      <c r="GC329" s="175"/>
      <c r="GD329" s="175"/>
      <c r="GE329" s="175"/>
      <c r="GF329" s="175"/>
      <c r="GG329" s="175"/>
      <c r="GH329" s="175"/>
      <c r="GI329" s="175"/>
      <c r="GJ329" s="175"/>
      <c r="GK329" s="175"/>
      <c r="GL329" s="175"/>
      <c r="GM329" s="175"/>
      <c r="GN329" s="175"/>
      <c r="GO329" s="175"/>
      <c r="GP329" s="175"/>
      <c r="GQ329" s="175"/>
      <c r="GR329" s="175"/>
      <c r="GS329" s="175"/>
      <c r="GT329" s="175"/>
      <c r="GU329" s="175"/>
      <c r="GV329" s="175"/>
      <c r="GW329" s="175"/>
      <c r="GX329" s="175"/>
      <c r="GY329" s="175"/>
      <c r="GZ329" s="175"/>
      <c r="HA329" s="175"/>
      <c r="HB329" s="175"/>
      <c r="HC329" s="175"/>
      <c r="HD329" s="175"/>
      <c r="HE329" s="175"/>
      <c r="HF329" s="175"/>
      <c r="HG329" s="175"/>
      <c r="HH329" s="175"/>
      <c r="HI329" s="175"/>
      <c r="HJ329" s="175"/>
      <c r="HK329" s="175"/>
      <c r="HL329" s="175"/>
      <c r="HM329" s="175"/>
      <c r="HN329" s="175"/>
      <c r="HO329" s="175"/>
      <c r="HP329" s="175"/>
      <c r="HQ329" s="175"/>
      <c r="HR329" s="175"/>
      <c r="HS329" s="175"/>
      <c r="HT329" s="175"/>
      <c r="HU329" s="175"/>
      <c r="HV329" s="175"/>
      <c r="HW329" s="175"/>
      <c r="HX329" s="175"/>
      <c r="HY329" s="175"/>
      <c r="HZ329" s="175"/>
      <c r="IA329" s="175"/>
      <c r="IB329" s="175"/>
      <c r="IC329" s="175"/>
      <c r="ID329" s="175"/>
      <c r="IE329" s="175"/>
      <c r="IF329" s="175"/>
      <c r="IG329" s="175"/>
      <c r="IH329" s="175"/>
      <c r="II329" s="175"/>
      <c r="IJ329" s="175"/>
      <c r="IK329" s="175"/>
      <c r="IL329" s="175"/>
      <c r="IM329" s="175"/>
      <c r="IN329" s="175"/>
      <c r="IO329" s="175"/>
      <c r="IP329" s="175"/>
      <c r="IQ329" s="175"/>
      <c r="IR329" s="175"/>
      <c r="IS329" s="175"/>
      <c r="IT329" s="175"/>
      <c r="IU329" s="175"/>
      <c r="IV329" s="175"/>
      <c r="IW329" s="175"/>
      <c r="IX329" s="175"/>
      <c r="IY329" s="175"/>
      <c r="IZ329" s="175"/>
      <c r="JA329" s="175"/>
      <c r="JB329" s="175"/>
      <c r="JC329" s="175"/>
      <c r="JD329" s="175"/>
      <c r="JE329" s="175"/>
      <c r="JF329" s="175"/>
      <c r="JG329" s="175"/>
      <c r="JH329" s="175"/>
      <c r="JI329" s="175"/>
      <c r="JJ329" s="175"/>
      <c r="JK329" s="175"/>
      <c r="JL329" s="175"/>
      <c r="JM329" s="175"/>
      <c r="JN329" s="175"/>
      <c r="JO329" s="175"/>
      <c r="JP329" s="175"/>
      <c r="JQ329" s="175"/>
      <c r="JR329" s="175"/>
      <c r="JS329" s="175"/>
      <c r="JT329" s="175"/>
      <c r="JU329" s="175"/>
      <c r="JV329" s="175"/>
      <c r="JW329" s="175"/>
      <c r="JX329" s="175"/>
      <c r="JY329" s="175"/>
      <c r="JZ329" s="175"/>
      <c r="KA329" s="175"/>
      <c r="KB329" s="175"/>
      <c r="KC329" s="175"/>
      <c r="KD329" s="175"/>
      <c r="KE329" s="175"/>
      <c r="KF329" s="175"/>
      <c r="KG329" s="175"/>
      <c r="KH329" s="175"/>
      <c r="KI329" s="175"/>
      <c r="KJ329" s="175"/>
      <c r="KK329" s="175"/>
      <c r="KL329" s="175"/>
      <c r="KM329" s="175"/>
      <c r="KN329" s="175"/>
      <c r="KO329" s="175"/>
      <c r="KP329" s="175"/>
      <c r="KQ329" s="175"/>
      <c r="KR329" s="175"/>
      <c r="KS329" s="175"/>
      <c r="KT329" s="175"/>
      <c r="KU329" s="175"/>
    </row>
    <row r="330" spans="1:307" x14ac:dyDescent="0.2">
      <c r="A330" s="172"/>
      <c r="B330" s="172"/>
      <c r="C330" s="172"/>
      <c r="D330" s="172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  <c r="AR330" s="172"/>
      <c r="AS330" s="172"/>
      <c r="AT330" s="172"/>
      <c r="AU330" s="172"/>
      <c r="AV330" s="172"/>
      <c r="AW330" s="172"/>
      <c r="AX330" s="172"/>
      <c r="AY330" s="172"/>
      <c r="AZ330" s="172"/>
      <c r="BA330" s="172"/>
      <c r="BB330" s="172"/>
      <c r="BC330" s="172"/>
      <c r="BD330" s="172"/>
      <c r="BE330" s="172"/>
      <c r="BF330" s="172"/>
      <c r="BG330" s="172"/>
      <c r="BH330" s="172"/>
      <c r="BI330" s="172"/>
      <c r="BJ330" s="172"/>
      <c r="BK330" s="172"/>
      <c r="BL330" s="172"/>
      <c r="BM330" s="172"/>
      <c r="BN330" s="172"/>
      <c r="BO330" s="172"/>
      <c r="BP330" s="172"/>
      <c r="BQ330" s="172"/>
      <c r="BR330" s="172"/>
      <c r="BS330" s="172"/>
      <c r="BT330" s="172"/>
      <c r="BU330" s="172"/>
      <c r="BV330" s="172"/>
      <c r="BW330" s="172"/>
      <c r="BX330" s="175"/>
      <c r="BY330" s="175"/>
      <c r="BZ330" s="175"/>
      <c r="CA330" s="175"/>
      <c r="CB330" s="175"/>
      <c r="CC330" s="175"/>
      <c r="CD330" s="175"/>
      <c r="CE330" s="175"/>
      <c r="CF330" s="175"/>
      <c r="CG330" s="175"/>
      <c r="CH330" s="175"/>
      <c r="CI330" s="175"/>
      <c r="CJ330" s="175"/>
      <c r="CK330" s="175"/>
      <c r="CL330" s="175"/>
      <c r="CM330" s="175"/>
      <c r="CN330" s="175"/>
      <c r="CO330" s="175"/>
      <c r="CP330" s="175"/>
      <c r="CQ330" s="175"/>
      <c r="CR330" s="175"/>
      <c r="CS330" s="175"/>
      <c r="CT330" s="175"/>
      <c r="CU330" s="175"/>
      <c r="CV330" s="175"/>
      <c r="CW330" s="175"/>
      <c r="CX330" s="175"/>
      <c r="CY330" s="175"/>
      <c r="CZ330" s="175"/>
      <c r="DA330" s="175"/>
      <c r="DB330" s="175"/>
      <c r="DC330" s="175"/>
      <c r="DD330" s="175"/>
      <c r="DE330" s="175"/>
      <c r="DF330" s="175"/>
      <c r="DG330" s="175"/>
      <c r="DH330" s="175"/>
      <c r="DI330" s="175"/>
      <c r="DJ330" s="175"/>
      <c r="DK330" s="175"/>
      <c r="DL330" s="175"/>
      <c r="DM330" s="175"/>
      <c r="DN330" s="175"/>
      <c r="DO330" s="175"/>
      <c r="DP330" s="175"/>
      <c r="DQ330" s="175"/>
      <c r="DR330" s="175"/>
      <c r="DS330" s="175"/>
      <c r="DT330" s="175"/>
      <c r="DU330" s="175"/>
      <c r="DV330" s="175"/>
      <c r="DW330" s="175"/>
      <c r="DX330" s="175"/>
      <c r="DY330" s="175"/>
      <c r="DZ330" s="175"/>
      <c r="EA330" s="175"/>
      <c r="EB330" s="175"/>
      <c r="EC330" s="175"/>
      <c r="ED330" s="175"/>
      <c r="EE330" s="175"/>
      <c r="EF330" s="175"/>
      <c r="EG330" s="175"/>
      <c r="EH330" s="175"/>
      <c r="EI330" s="175"/>
      <c r="EJ330" s="175"/>
      <c r="EK330" s="175"/>
      <c r="EL330" s="175"/>
      <c r="EM330" s="175"/>
      <c r="EN330" s="175"/>
      <c r="EO330" s="175"/>
      <c r="EP330" s="175"/>
      <c r="EQ330" s="175"/>
      <c r="ER330" s="175"/>
      <c r="ES330" s="175"/>
      <c r="ET330" s="175"/>
      <c r="EU330" s="175"/>
      <c r="EV330" s="175"/>
      <c r="EW330" s="175"/>
      <c r="EX330" s="175"/>
      <c r="EY330" s="175"/>
      <c r="EZ330" s="175"/>
      <c r="FA330" s="175"/>
      <c r="FB330" s="175"/>
      <c r="FC330" s="175"/>
      <c r="FD330" s="175"/>
      <c r="FE330" s="175"/>
      <c r="FF330" s="175"/>
      <c r="FG330" s="175"/>
      <c r="FH330" s="175"/>
      <c r="FI330" s="175"/>
      <c r="FJ330" s="175"/>
      <c r="FK330" s="175"/>
      <c r="FL330" s="175"/>
      <c r="FM330" s="175"/>
      <c r="FN330" s="175"/>
      <c r="FO330" s="175"/>
      <c r="FP330" s="175"/>
      <c r="FQ330" s="175"/>
      <c r="FR330" s="175"/>
      <c r="FS330" s="175"/>
      <c r="FT330" s="175"/>
      <c r="FU330" s="175"/>
      <c r="FV330" s="175"/>
      <c r="FW330" s="175"/>
      <c r="FX330" s="175"/>
      <c r="FY330" s="175"/>
      <c r="FZ330" s="175"/>
      <c r="GA330" s="175"/>
      <c r="GB330" s="175"/>
      <c r="GC330" s="175"/>
      <c r="GD330" s="175"/>
      <c r="GE330" s="175"/>
      <c r="GF330" s="175"/>
      <c r="GG330" s="175"/>
      <c r="GH330" s="175"/>
      <c r="GI330" s="175"/>
      <c r="GJ330" s="175"/>
      <c r="GK330" s="175"/>
      <c r="GL330" s="175"/>
      <c r="GM330" s="175"/>
      <c r="GN330" s="175"/>
      <c r="GO330" s="175"/>
      <c r="GP330" s="175"/>
      <c r="GQ330" s="175"/>
      <c r="GR330" s="175"/>
      <c r="GS330" s="175"/>
      <c r="GT330" s="175"/>
      <c r="GU330" s="175"/>
      <c r="GV330" s="175"/>
      <c r="GW330" s="175"/>
      <c r="GX330" s="175"/>
      <c r="GY330" s="175"/>
      <c r="GZ330" s="175"/>
      <c r="HA330" s="175"/>
      <c r="HB330" s="175"/>
      <c r="HC330" s="175"/>
      <c r="HD330" s="175"/>
      <c r="HE330" s="175"/>
      <c r="HF330" s="175"/>
      <c r="HG330" s="175"/>
      <c r="HH330" s="175"/>
      <c r="HI330" s="175"/>
      <c r="HJ330" s="175"/>
      <c r="HK330" s="175"/>
      <c r="HL330" s="175"/>
      <c r="HM330" s="175"/>
      <c r="HN330" s="175"/>
      <c r="HO330" s="175"/>
      <c r="HP330" s="175"/>
      <c r="HQ330" s="175"/>
      <c r="HR330" s="175"/>
      <c r="HS330" s="175"/>
      <c r="HT330" s="175"/>
      <c r="HU330" s="175"/>
      <c r="HV330" s="175"/>
      <c r="HW330" s="175"/>
      <c r="HX330" s="175"/>
      <c r="HY330" s="175"/>
      <c r="HZ330" s="175"/>
      <c r="IA330" s="175"/>
      <c r="IB330" s="175"/>
      <c r="IC330" s="175"/>
      <c r="ID330" s="175"/>
      <c r="IE330" s="175"/>
      <c r="IF330" s="175"/>
      <c r="IG330" s="175"/>
      <c r="IH330" s="175"/>
      <c r="II330" s="175"/>
      <c r="IJ330" s="175"/>
      <c r="IK330" s="175"/>
      <c r="IL330" s="175"/>
      <c r="IM330" s="175"/>
      <c r="IN330" s="175"/>
      <c r="IO330" s="175"/>
      <c r="IP330" s="175"/>
      <c r="IQ330" s="175"/>
      <c r="IR330" s="175"/>
      <c r="IS330" s="175"/>
      <c r="IT330" s="175"/>
      <c r="IU330" s="175"/>
      <c r="IV330" s="175"/>
      <c r="IW330" s="175"/>
      <c r="IX330" s="175"/>
      <c r="IY330" s="175"/>
      <c r="IZ330" s="175"/>
      <c r="JA330" s="175"/>
      <c r="JB330" s="175"/>
      <c r="JC330" s="175"/>
      <c r="JD330" s="175"/>
      <c r="JE330" s="175"/>
      <c r="JF330" s="175"/>
      <c r="JG330" s="175"/>
      <c r="JH330" s="175"/>
      <c r="JI330" s="175"/>
      <c r="JJ330" s="175"/>
      <c r="JK330" s="175"/>
      <c r="JL330" s="175"/>
      <c r="JM330" s="175"/>
      <c r="JN330" s="175"/>
      <c r="JO330" s="175"/>
      <c r="JP330" s="175"/>
      <c r="JQ330" s="175"/>
      <c r="JR330" s="175"/>
      <c r="JS330" s="175"/>
      <c r="JT330" s="175"/>
      <c r="JU330" s="175"/>
      <c r="JV330" s="175"/>
      <c r="JW330" s="175"/>
      <c r="JX330" s="175"/>
      <c r="JY330" s="175"/>
      <c r="JZ330" s="175"/>
      <c r="KA330" s="175"/>
      <c r="KB330" s="175"/>
      <c r="KC330" s="175"/>
      <c r="KD330" s="175"/>
      <c r="KE330" s="175"/>
      <c r="KF330" s="175"/>
      <c r="KG330" s="175"/>
      <c r="KH330" s="175"/>
      <c r="KI330" s="175"/>
      <c r="KJ330" s="175"/>
      <c r="KK330" s="175"/>
      <c r="KL330" s="175"/>
      <c r="KM330" s="175"/>
      <c r="KN330" s="175"/>
      <c r="KO330" s="175"/>
      <c r="KP330" s="175"/>
      <c r="KQ330" s="175"/>
      <c r="KR330" s="175"/>
      <c r="KS330" s="175"/>
      <c r="KT330" s="175"/>
      <c r="KU330" s="175"/>
    </row>
    <row r="331" spans="1:307" x14ac:dyDescent="0.2">
      <c r="A331" s="172"/>
      <c r="B331" s="172"/>
      <c r="C331" s="172"/>
      <c r="D331" s="172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  <c r="AR331" s="172"/>
      <c r="AS331" s="172"/>
      <c r="AT331" s="172"/>
      <c r="AU331" s="172"/>
      <c r="AV331" s="172"/>
      <c r="AW331" s="172"/>
      <c r="AX331" s="172"/>
      <c r="AY331" s="172"/>
      <c r="AZ331" s="172"/>
      <c r="BA331" s="172"/>
      <c r="BB331" s="172"/>
      <c r="BC331" s="172"/>
      <c r="BD331" s="172"/>
      <c r="BE331" s="172"/>
      <c r="BF331" s="172"/>
      <c r="BG331" s="172"/>
      <c r="BH331" s="172"/>
      <c r="BI331" s="172"/>
      <c r="BJ331" s="172"/>
      <c r="BK331" s="172"/>
      <c r="BL331" s="172"/>
      <c r="BM331" s="172"/>
      <c r="BN331" s="172"/>
      <c r="BO331" s="172"/>
      <c r="BP331" s="172"/>
      <c r="BQ331" s="172"/>
      <c r="BR331" s="172"/>
      <c r="BS331" s="172"/>
      <c r="BT331" s="172"/>
      <c r="BU331" s="172"/>
      <c r="BV331" s="172"/>
      <c r="BW331" s="172"/>
      <c r="BX331" s="175"/>
      <c r="BY331" s="175"/>
      <c r="BZ331" s="175"/>
      <c r="CA331" s="175"/>
      <c r="CB331" s="175"/>
      <c r="CC331" s="175"/>
      <c r="CD331" s="175"/>
      <c r="CE331" s="175"/>
      <c r="CF331" s="175"/>
      <c r="CG331" s="175"/>
      <c r="CH331" s="175"/>
      <c r="CI331" s="175"/>
      <c r="CJ331" s="175"/>
      <c r="CK331" s="175"/>
      <c r="CL331" s="175"/>
      <c r="CM331" s="175"/>
      <c r="CN331" s="175"/>
      <c r="CO331" s="175"/>
      <c r="CP331" s="175"/>
      <c r="CQ331" s="175"/>
      <c r="CR331" s="175"/>
      <c r="CS331" s="175"/>
      <c r="CT331" s="175"/>
      <c r="CU331" s="175"/>
      <c r="CV331" s="175"/>
      <c r="CW331" s="175"/>
      <c r="CX331" s="175"/>
      <c r="CY331" s="175"/>
      <c r="CZ331" s="175"/>
      <c r="DA331" s="175"/>
      <c r="DB331" s="175"/>
      <c r="DC331" s="175"/>
      <c r="DD331" s="175"/>
      <c r="DE331" s="175"/>
      <c r="DF331" s="175"/>
      <c r="DG331" s="175"/>
      <c r="DH331" s="175"/>
      <c r="DI331" s="175"/>
      <c r="DJ331" s="175"/>
      <c r="DK331" s="175"/>
      <c r="DL331" s="175"/>
      <c r="DM331" s="175"/>
      <c r="DN331" s="175"/>
      <c r="DO331" s="175"/>
      <c r="DP331" s="175"/>
      <c r="DQ331" s="175"/>
      <c r="DR331" s="175"/>
      <c r="DS331" s="175"/>
      <c r="DT331" s="175"/>
      <c r="DU331" s="175"/>
      <c r="DV331" s="175"/>
      <c r="DW331" s="175"/>
      <c r="DX331" s="175"/>
      <c r="DY331" s="175"/>
      <c r="DZ331" s="175"/>
      <c r="EA331" s="175"/>
      <c r="EB331" s="175"/>
      <c r="EC331" s="175"/>
      <c r="ED331" s="175"/>
      <c r="EE331" s="175"/>
      <c r="EF331" s="175"/>
      <c r="EG331" s="175"/>
      <c r="EH331" s="175"/>
      <c r="EI331" s="175"/>
      <c r="EJ331" s="175"/>
      <c r="EK331" s="175"/>
      <c r="EL331" s="175"/>
      <c r="EM331" s="175"/>
      <c r="EN331" s="175"/>
      <c r="EO331" s="175"/>
      <c r="EP331" s="175"/>
      <c r="EQ331" s="175"/>
      <c r="ER331" s="175"/>
      <c r="ES331" s="175"/>
      <c r="ET331" s="175"/>
      <c r="EU331" s="175"/>
      <c r="EV331" s="175"/>
      <c r="EW331" s="175"/>
      <c r="EX331" s="175"/>
      <c r="EY331" s="175"/>
      <c r="EZ331" s="175"/>
      <c r="FA331" s="175"/>
      <c r="FB331" s="175"/>
      <c r="FC331" s="175"/>
      <c r="FD331" s="175"/>
      <c r="FE331" s="175"/>
      <c r="FF331" s="175"/>
      <c r="FG331" s="175"/>
      <c r="FH331" s="175"/>
      <c r="FI331" s="175"/>
      <c r="FJ331" s="175"/>
      <c r="FK331" s="175"/>
      <c r="FL331" s="175"/>
      <c r="FM331" s="175"/>
      <c r="FN331" s="175"/>
      <c r="FO331" s="175"/>
      <c r="FP331" s="175"/>
      <c r="FQ331" s="175"/>
      <c r="FR331" s="175"/>
      <c r="FS331" s="175"/>
      <c r="FT331" s="175"/>
      <c r="FU331" s="175"/>
      <c r="FV331" s="175"/>
      <c r="FW331" s="175"/>
      <c r="FX331" s="175"/>
      <c r="FY331" s="175"/>
      <c r="FZ331" s="175"/>
      <c r="GA331" s="175"/>
      <c r="GB331" s="175"/>
      <c r="GC331" s="175"/>
      <c r="GD331" s="175"/>
      <c r="GE331" s="175"/>
      <c r="GF331" s="175"/>
      <c r="GG331" s="175"/>
      <c r="GH331" s="175"/>
      <c r="GI331" s="175"/>
      <c r="GJ331" s="175"/>
      <c r="GK331" s="175"/>
      <c r="GL331" s="175"/>
      <c r="GM331" s="175"/>
      <c r="GN331" s="175"/>
      <c r="GO331" s="175"/>
      <c r="GP331" s="175"/>
      <c r="GQ331" s="175"/>
      <c r="GR331" s="175"/>
      <c r="GS331" s="175"/>
      <c r="GT331" s="175"/>
      <c r="GU331" s="175"/>
      <c r="GV331" s="175"/>
      <c r="GW331" s="175"/>
      <c r="GX331" s="175"/>
      <c r="GY331" s="175"/>
      <c r="GZ331" s="175"/>
      <c r="HA331" s="175"/>
      <c r="HB331" s="175"/>
      <c r="HC331" s="175"/>
      <c r="HD331" s="175"/>
      <c r="HE331" s="175"/>
      <c r="HF331" s="175"/>
      <c r="HG331" s="175"/>
      <c r="HH331" s="175"/>
      <c r="HI331" s="175"/>
      <c r="HJ331" s="175"/>
      <c r="HK331" s="175"/>
      <c r="HL331" s="175"/>
      <c r="HM331" s="175"/>
      <c r="HN331" s="175"/>
      <c r="HO331" s="175"/>
      <c r="HP331" s="175"/>
      <c r="HQ331" s="175"/>
      <c r="HR331" s="175"/>
      <c r="HS331" s="175"/>
      <c r="HT331" s="175"/>
      <c r="HU331" s="175"/>
      <c r="HV331" s="175"/>
      <c r="HW331" s="175"/>
      <c r="HX331" s="175"/>
      <c r="HY331" s="175"/>
      <c r="HZ331" s="175"/>
      <c r="IA331" s="175"/>
      <c r="IB331" s="175"/>
      <c r="IC331" s="175"/>
      <c r="ID331" s="175"/>
      <c r="IE331" s="175"/>
      <c r="IF331" s="175"/>
      <c r="IG331" s="175"/>
      <c r="IH331" s="175"/>
      <c r="II331" s="175"/>
      <c r="IJ331" s="175"/>
      <c r="IK331" s="175"/>
      <c r="IL331" s="175"/>
      <c r="IM331" s="175"/>
      <c r="IN331" s="175"/>
      <c r="IO331" s="175"/>
      <c r="IP331" s="175"/>
      <c r="IQ331" s="175"/>
      <c r="IR331" s="175"/>
      <c r="IS331" s="175"/>
      <c r="IT331" s="175"/>
      <c r="IU331" s="175"/>
      <c r="IV331" s="175"/>
      <c r="IW331" s="175"/>
      <c r="IX331" s="175"/>
      <c r="IY331" s="175"/>
      <c r="IZ331" s="175"/>
      <c r="JA331" s="175"/>
      <c r="JB331" s="175"/>
      <c r="JC331" s="175"/>
      <c r="JD331" s="175"/>
      <c r="JE331" s="175"/>
      <c r="JF331" s="175"/>
      <c r="JG331" s="175"/>
      <c r="JH331" s="175"/>
      <c r="JI331" s="175"/>
      <c r="JJ331" s="175"/>
      <c r="JK331" s="175"/>
      <c r="JL331" s="175"/>
      <c r="JM331" s="175"/>
      <c r="JN331" s="175"/>
      <c r="JO331" s="175"/>
      <c r="JP331" s="175"/>
      <c r="JQ331" s="175"/>
      <c r="JR331" s="175"/>
      <c r="JS331" s="175"/>
      <c r="JT331" s="175"/>
      <c r="JU331" s="175"/>
      <c r="JV331" s="175"/>
      <c r="JW331" s="175"/>
      <c r="JX331" s="175"/>
      <c r="JY331" s="175"/>
      <c r="JZ331" s="175"/>
      <c r="KA331" s="175"/>
      <c r="KB331" s="175"/>
      <c r="KC331" s="175"/>
      <c r="KD331" s="175"/>
      <c r="KE331" s="175"/>
      <c r="KF331" s="175"/>
      <c r="KG331" s="175"/>
      <c r="KH331" s="175"/>
      <c r="KI331" s="175"/>
      <c r="KJ331" s="175"/>
      <c r="KK331" s="175"/>
      <c r="KL331" s="175"/>
      <c r="KM331" s="175"/>
      <c r="KN331" s="175"/>
      <c r="KO331" s="175"/>
      <c r="KP331" s="175"/>
      <c r="KQ331" s="175"/>
      <c r="KR331" s="175"/>
      <c r="KS331" s="175"/>
      <c r="KT331" s="175"/>
      <c r="KU331" s="175"/>
    </row>
    <row r="332" spans="1:307" x14ac:dyDescent="0.2">
      <c r="A332" s="172"/>
      <c r="B332" s="172"/>
      <c r="C332" s="172"/>
      <c r="D332" s="172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172"/>
      <c r="AV332" s="172"/>
      <c r="AW332" s="172"/>
      <c r="AX332" s="172"/>
      <c r="AY332" s="172"/>
      <c r="AZ332" s="172"/>
      <c r="BA332" s="172"/>
      <c r="BB332" s="172"/>
      <c r="BC332" s="172"/>
      <c r="BD332" s="172"/>
      <c r="BE332" s="172"/>
      <c r="BF332" s="172"/>
      <c r="BG332" s="172"/>
      <c r="BH332" s="172"/>
      <c r="BI332" s="172"/>
      <c r="BJ332" s="172"/>
      <c r="BK332" s="172"/>
      <c r="BL332" s="172"/>
      <c r="BM332" s="172"/>
      <c r="BN332" s="172"/>
      <c r="BO332" s="172"/>
      <c r="BP332" s="172"/>
      <c r="BQ332" s="172"/>
      <c r="BR332" s="172"/>
      <c r="BS332" s="172"/>
      <c r="BT332" s="172"/>
      <c r="BU332" s="172"/>
      <c r="BV332" s="172"/>
      <c r="BW332" s="172"/>
      <c r="BX332" s="175"/>
      <c r="BY332" s="175"/>
      <c r="BZ332" s="175"/>
      <c r="CA332" s="175"/>
      <c r="CB332" s="175"/>
      <c r="CC332" s="175"/>
      <c r="CD332" s="175"/>
      <c r="CE332" s="175"/>
      <c r="CF332" s="175"/>
      <c r="CG332" s="175"/>
      <c r="CH332" s="175"/>
      <c r="CI332" s="175"/>
      <c r="CJ332" s="175"/>
      <c r="CK332" s="175"/>
      <c r="CL332" s="175"/>
      <c r="CM332" s="175"/>
      <c r="CN332" s="175"/>
      <c r="CO332" s="175"/>
      <c r="CP332" s="175"/>
      <c r="CQ332" s="175"/>
      <c r="CR332" s="175"/>
      <c r="CS332" s="175"/>
      <c r="CT332" s="175"/>
      <c r="CU332" s="175"/>
      <c r="CV332" s="175"/>
      <c r="CW332" s="175"/>
      <c r="CX332" s="175"/>
      <c r="CY332" s="175"/>
      <c r="CZ332" s="175"/>
      <c r="DA332" s="175"/>
      <c r="DB332" s="175"/>
      <c r="DC332" s="175"/>
      <c r="DD332" s="175"/>
      <c r="DE332" s="175"/>
      <c r="DF332" s="175"/>
      <c r="DG332" s="175"/>
      <c r="DH332" s="175"/>
      <c r="DI332" s="175"/>
      <c r="DJ332" s="175"/>
      <c r="DK332" s="175"/>
      <c r="DL332" s="175"/>
      <c r="DM332" s="175"/>
      <c r="DN332" s="175"/>
      <c r="DO332" s="175"/>
      <c r="DP332" s="175"/>
      <c r="DQ332" s="175"/>
      <c r="DR332" s="175"/>
      <c r="DS332" s="175"/>
      <c r="DT332" s="175"/>
      <c r="DU332" s="175"/>
      <c r="DV332" s="175"/>
      <c r="DW332" s="175"/>
      <c r="DX332" s="175"/>
      <c r="DY332" s="175"/>
      <c r="DZ332" s="175"/>
      <c r="EA332" s="175"/>
      <c r="EB332" s="175"/>
      <c r="EC332" s="175"/>
      <c r="ED332" s="175"/>
      <c r="EE332" s="175"/>
      <c r="EF332" s="175"/>
      <c r="EG332" s="175"/>
      <c r="EH332" s="175"/>
      <c r="EI332" s="175"/>
      <c r="EJ332" s="175"/>
      <c r="EK332" s="175"/>
      <c r="EL332" s="175"/>
      <c r="EM332" s="175"/>
      <c r="EN332" s="175"/>
      <c r="EO332" s="175"/>
      <c r="EP332" s="175"/>
      <c r="EQ332" s="175"/>
      <c r="ER332" s="175"/>
      <c r="ES332" s="175"/>
      <c r="ET332" s="175"/>
      <c r="EU332" s="175"/>
      <c r="EV332" s="175"/>
      <c r="EW332" s="175"/>
      <c r="EX332" s="175"/>
      <c r="EY332" s="175"/>
      <c r="EZ332" s="175"/>
      <c r="FA332" s="175"/>
      <c r="FB332" s="175"/>
      <c r="FC332" s="175"/>
      <c r="FD332" s="175"/>
      <c r="FE332" s="175"/>
      <c r="FF332" s="175"/>
      <c r="FG332" s="175"/>
      <c r="FH332" s="175"/>
      <c r="FI332" s="175"/>
      <c r="FJ332" s="175"/>
      <c r="FK332" s="175"/>
      <c r="FL332" s="175"/>
      <c r="FM332" s="175"/>
      <c r="FN332" s="175"/>
      <c r="FO332" s="175"/>
      <c r="FP332" s="175"/>
      <c r="FQ332" s="175"/>
      <c r="FR332" s="175"/>
      <c r="FS332" s="175"/>
      <c r="FT332" s="175"/>
      <c r="FU332" s="175"/>
      <c r="FV332" s="175"/>
      <c r="FW332" s="175"/>
      <c r="FX332" s="175"/>
      <c r="FY332" s="175"/>
      <c r="FZ332" s="175"/>
      <c r="GA332" s="175"/>
      <c r="GB332" s="175"/>
      <c r="GC332" s="175"/>
      <c r="GD332" s="175"/>
      <c r="GE332" s="175"/>
      <c r="GF332" s="175"/>
      <c r="GG332" s="175"/>
      <c r="GH332" s="175"/>
      <c r="GI332" s="175"/>
      <c r="GJ332" s="175"/>
      <c r="GK332" s="175"/>
      <c r="GL332" s="175"/>
      <c r="GM332" s="175"/>
      <c r="GN332" s="175"/>
      <c r="GO332" s="175"/>
      <c r="GP332" s="175"/>
      <c r="GQ332" s="175"/>
      <c r="GR332" s="175"/>
      <c r="GS332" s="175"/>
      <c r="GT332" s="175"/>
      <c r="GU332" s="175"/>
      <c r="GV332" s="175"/>
      <c r="GW332" s="175"/>
      <c r="GX332" s="175"/>
      <c r="GY332" s="175"/>
      <c r="GZ332" s="175"/>
      <c r="HA332" s="175"/>
      <c r="HB332" s="175"/>
      <c r="HC332" s="175"/>
      <c r="HD332" s="175"/>
      <c r="HE332" s="175"/>
      <c r="HF332" s="175"/>
      <c r="HG332" s="175"/>
      <c r="HH332" s="175"/>
      <c r="HI332" s="175"/>
      <c r="HJ332" s="175"/>
      <c r="HK332" s="175"/>
      <c r="HL332" s="175"/>
      <c r="HM332" s="175"/>
      <c r="HN332" s="175"/>
      <c r="HO332" s="175"/>
      <c r="HP332" s="175"/>
      <c r="HQ332" s="175"/>
      <c r="HR332" s="175"/>
      <c r="HS332" s="175"/>
      <c r="HT332" s="175"/>
      <c r="HU332" s="175"/>
      <c r="HV332" s="175"/>
      <c r="HW332" s="175"/>
      <c r="HX332" s="175"/>
      <c r="HY332" s="175"/>
      <c r="HZ332" s="175"/>
      <c r="IA332" s="175"/>
      <c r="IB332" s="175"/>
      <c r="IC332" s="175"/>
      <c r="ID332" s="175"/>
      <c r="IE332" s="175"/>
      <c r="IF332" s="175"/>
      <c r="IG332" s="175"/>
      <c r="IH332" s="175"/>
      <c r="II332" s="175"/>
      <c r="IJ332" s="175"/>
      <c r="IK332" s="175"/>
      <c r="IL332" s="175"/>
      <c r="IM332" s="175"/>
      <c r="IN332" s="175"/>
      <c r="IO332" s="175"/>
      <c r="IP332" s="175"/>
      <c r="IQ332" s="175"/>
      <c r="IR332" s="175"/>
      <c r="IS332" s="175"/>
      <c r="IT332" s="175"/>
      <c r="IU332" s="175"/>
      <c r="IV332" s="175"/>
      <c r="IW332" s="175"/>
      <c r="IX332" s="175"/>
      <c r="IY332" s="175"/>
      <c r="IZ332" s="175"/>
      <c r="JA332" s="175"/>
      <c r="JB332" s="175"/>
      <c r="JC332" s="175"/>
      <c r="JD332" s="175"/>
      <c r="JE332" s="175"/>
      <c r="JF332" s="175"/>
      <c r="JG332" s="175"/>
      <c r="JH332" s="175"/>
      <c r="JI332" s="175"/>
      <c r="JJ332" s="175"/>
      <c r="JK332" s="175"/>
      <c r="JL332" s="175"/>
      <c r="JM332" s="175"/>
      <c r="JN332" s="175"/>
      <c r="JO332" s="175"/>
      <c r="JP332" s="175"/>
      <c r="JQ332" s="175"/>
      <c r="JR332" s="175"/>
      <c r="JS332" s="175"/>
      <c r="JT332" s="175"/>
      <c r="JU332" s="175"/>
      <c r="JV332" s="175"/>
      <c r="JW332" s="175"/>
      <c r="JX332" s="175"/>
      <c r="JY332" s="175"/>
      <c r="JZ332" s="175"/>
      <c r="KA332" s="175"/>
      <c r="KB332" s="175"/>
      <c r="KC332" s="175"/>
      <c r="KD332" s="175"/>
      <c r="KE332" s="175"/>
      <c r="KF332" s="175"/>
      <c r="KG332" s="175"/>
      <c r="KH332" s="175"/>
      <c r="KI332" s="175"/>
      <c r="KJ332" s="175"/>
      <c r="KK332" s="175"/>
      <c r="KL332" s="175"/>
      <c r="KM332" s="175"/>
      <c r="KN332" s="175"/>
      <c r="KO332" s="175"/>
      <c r="KP332" s="175"/>
      <c r="KQ332" s="175"/>
      <c r="KR332" s="175"/>
      <c r="KS332" s="175"/>
      <c r="KT332" s="175"/>
      <c r="KU332" s="175"/>
    </row>
    <row r="333" spans="1:307" x14ac:dyDescent="0.2">
      <c r="A333" s="172"/>
      <c r="B333" s="172"/>
      <c r="C333" s="172"/>
      <c r="D333" s="172"/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  <c r="AP333" s="172"/>
      <c r="AQ333" s="172"/>
      <c r="AR333" s="172"/>
      <c r="AS333" s="172"/>
      <c r="AT333" s="172"/>
      <c r="AU333" s="172"/>
      <c r="AV333" s="172"/>
      <c r="AW333" s="172"/>
      <c r="AX333" s="172"/>
      <c r="AY333" s="172"/>
      <c r="AZ333" s="172"/>
      <c r="BA333" s="172"/>
      <c r="BB333" s="172"/>
      <c r="BC333" s="172"/>
      <c r="BD333" s="172"/>
      <c r="BE333" s="172"/>
      <c r="BF333" s="172"/>
      <c r="BG333" s="172"/>
      <c r="BH333" s="172"/>
      <c r="BI333" s="172"/>
      <c r="BJ333" s="172"/>
      <c r="BK333" s="172"/>
      <c r="BL333" s="172"/>
      <c r="BM333" s="172"/>
      <c r="BN333" s="172"/>
      <c r="BO333" s="172"/>
      <c r="BP333" s="172"/>
      <c r="BQ333" s="172"/>
      <c r="BR333" s="172"/>
      <c r="BS333" s="172"/>
      <c r="BT333" s="172"/>
      <c r="BU333" s="172"/>
      <c r="BV333" s="172"/>
      <c r="BW333" s="172"/>
      <c r="BX333" s="175"/>
      <c r="BY333" s="175"/>
      <c r="BZ333" s="175"/>
      <c r="CA333" s="175"/>
      <c r="CB333" s="175"/>
      <c r="CC333" s="175"/>
      <c r="CD333" s="175"/>
      <c r="CE333" s="175"/>
      <c r="CF333" s="175"/>
      <c r="CG333" s="175"/>
      <c r="CH333" s="175"/>
      <c r="CI333" s="175"/>
      <c r="CJ333" s="175"/>
      <c r="CK333" s="175"/>
      <c r="CL333" s="175"/>
      <c r="CM333" s="175"/>
      <c r="CN333" s="175"/>
      <c r="CO333" s="175"/>
      <c r="CP333" s="175"/>
      <c r="CQ333" s="175"/>
      <c r="CR333" s="175"/>
      <c r="CS333" s="175"/>
      <c r="CT333" s="175"/>
      <c r="CU333" s="175"/>
      <c r="CV333" s="175"/>
      <c r="CW333" s="175"/>
      <c r="CX333" s="175"/>
      <c r="CY333" s="175"/>
      <c r="CZ333" s="175"/>
      <c r="DA333" s="175"/>
      <c r="DB333" s="175"/>
      <c r="DC333" s="175"/>
      <c r="DD333" s="175"/>
      <c r="DE333" s="175"/>
      <c r="DF333" s="175"/>
      <c r="DG333" s="175"/>
      <c r="DH333" s="175"/>
      <c r="DI333" s="175"/>
      <c r="DJ333" s="175"/>
      <c r="DK333" s="175"/>
      <c r="DL333" s="175"/>
      <c r="DM333" s="175"/>
      <c r="DN333" s="175"/>
      <c r="DO333" s="175"/>
      <c r="DP333" s="175"/>
      <c r="DQ333" s="175"/>
      <c r="DR333" s="175"/>
      <c r="DS333" s="175"/>
      <c r="DT333" s="175"/>
      <c r="DU333" s="175"/>
      <c r="DV333" s="175"/>
      <c r="DW333" s="175"/>
      <c r="DX333" s="175"/>
      <c r="DY333" s="175"/>
      <c r="DZ333" s="175"/>
      <c r="EA333" s="175"/>
      <c r="EB333" s="175"/>
      <c r="EC333" s="175"/>
      <c r="ED333" s="175"/>
      <c r="EE333" s="175"/>
      <c r="EF333" s="175"/>
      <c r="EG333" s="175"/>
      <c r="EH333" s="175"/>
      <c r="EI333" s="175"/>
      <c r="EJ333" s="175"/>
      <c r="EK333" s="175"/>
      <c r="EL333" s="175"/>
      <c r="EM333" s="175"/>
      <c r="EN333" s="175"/>
      <c r="EO333" s="175"/>
      <c r="EP333" s="175"/>
      <c r="EQ333" s="175"/>
      <c r="ER333" s="175"/>
      <c r="ES333" s="175"/>
      <c r="ET333" s="175"/>
      <c r="EU333" s="175"/>
      <c r="EV333" s="175"/>
      <c r="EW333" s="175"/>
      <c r="EX333" s="175"/>
      <c r="EY333" s="175"/>
      <c r="EZ333" s="175"/>
      <c r="FA333" s="175"/>
      <c r="FB333" s="175"/>
      <c r="FC333" s="175"/>
      <c r="FD333" s="175"/>
      <c r="FE333" s="175"/>
      <c r="FF333" s="175"/>
      <c r="FG333" s="175"/>
      <c r="FH333" s="175"/>
      <c r="FI333" s="175"/>
      <c r="FJ333" s="175"/>
      <c r="FK333" s="175"/>
      <c r="FL333" s="175"/>
      <c r="FM333" s="175"/>
      <c r="FN333" s="175"/>
      <c r="FO333" s="175"/>
      <c r="FP333" s="175"/>
      <c r="FQ333" s="175"/>
      <c r="FR333" s="175"/>
      <c r="FS333" s="175"/>
      <c r="FT333" s="175"/>
      <c r="FU333" s="175"/>
      <c r="FV333" s="175"/>
      <c r="FW333" s="175"/>
      <c r="FX333" s="175"/>
      <c r="FY333" s="175"/>
      <c r="FZ333" s="175"/>
      <c r="GA333" s="175"/>
      <c r="GB333" s="175"/>
      <c r="GC333" s="175"/>
      <c r="GD333" s="175"/>
      <c r="GE333" s="175"/>
      <c r="GF333" s="175"/>
      <c r="GG333" s="175"/>
      <c r="GH333" s="175"/>
      <c r="GI333" s="175"/>
      <c r="GJ333" s="175"/>
      <c r="GK333" s="175"/>
      <c r="GL333" s="175"/>
      <c r="GM333" s="175"/>
      <c r="GN333" s="175"/>
      <c r="GO333" s="175"/>
      <c r="GP333" s="175"/>
      <c r="GQ333" s="175"/>
      <c r="GR333" s="175"/>
      <c r="GS333" s="175"/>
      <c r="GT333" s="175"/>
      <c r="GU333" s="175"/>
      <c r="GV333" s="175"/>
      <c r="GW333" s="175"/>
      <c r="GX333" s="175"/>
      <c r="GY333" s="175"/>
      <c r="GZ333" s="175"/>
      <c r="HA333" s="175"/>
      <c r="HB333" s="175"/>
      <c r="HC333" s="175"/>
      <c r="HD333" s="175"/>
      <c r="HE333" s="175"/>
      <c r="HF333" s="175"/>
      <c r="HG333" s="175"/>
      <c r="HH333" s="175"/>
      <c r="HI333" s="175"/>
      <c r="HJ333" s="175"/>
      <c r="HK333" s="175"/>
      <c r="HL333" s="175"/>
      <c r="HM333" s="175"/>
      <c r="HN333" s="175"/>
      <c r="HO333" s="175"/>
      <c r="HP333" s="175"/>
      <c r="HQ333" s="175"/>
      <c r="HR333" s="175"/>
      <c r="HS333" s="175"/>
      <c r="HT333" s="175"/>
      <c r="HU333" s="175"/>
      <c r="HV333" s="175"/>
      <c r="HW333" s="175"/>
      <c r="HX333" s="175"/>
      <c r="HY333" s="175"/>
      <c r="HZ333" s="175"/>
      <c r="IA333" s="175"/>
      <c r="IB333" s="175"/>
      <c r="IC333" s="175"/>
      <c r="ID333" s="175"/>
      <c r="IE333" s="175"/>
      <c r="IF333" s="175"/>
      <c r="IG333" s="175"/>
      <c r="IH333" s="175"/>
      <c r="II333" s="175"/>
      <c r="IJ333" s="175"/>
      <c r="IK333" s="175"/>
      <c r="IL333" s="175"/>
      <c r="IM333" s="175"/>
      <c r="IN333" s="175"/>
      <c r="IO333" s="175"/>
      <c r="IP333" s="175"/>
      <c r="IQ333" s="175"/>
      <c r="IR333" s="175"/>
      <c r="IS333" s="175"/>
      <c r="IT333" s="175"/>
      <c r="IU333" s="175"/>
      <c r="IV333" s="175"/>
      <c r="IW333" s="175"/>
      <c r="IX333" s="175"/>
      <c r="IY333" s="175"/>
      <c r="IZ333" s="175"/>
      <c r="JA333" s="175"/>
      <c r="JB333" s="175"/>
      <c r="JC333" s="175"/>
      <c r="JD333" s="175"/>
      <c r="JE333" s="175"/>
      <c r="JF333" s="175"/>
      <c r="JG333" s="175"/>
      <c r="JH333" s="175"/>
      <c r="JI333" s="175"/>
      <c r="JJ333" s="175"/>
      <c r="JK333" s="175"/>
      <c r="JL333" s="175"/>
      <c r="JM333" s="175"/>
      <c r="JN333" s="175"/>
      <c r="JO333" s="175"/>
      <c r="JP333" s="175"/>
      <c r="JQ333" s="175"/>
      <c r="JR333" s="175"/>
      <c r="JS333" s="175"/>
      <c r="JT333" s="175"/>
      <c r="JU333" s="175"/>
      <c r="JV333" s="175"/>
      <c r="JW333" s="175"/>
      <c r="JX333" s="175"/>
      <c r="JY333" s="175"/>
      <c r="JZ333" s="175"/>
      <c r="KA333" s="175"/>
      <c r="KB333" s="175"/>
      <c r="KC333" s="175"/>
      <c r="KD333" s="175"/>
      <c r="KE333" s="175"/>
      <c r="KF333" s="175"/>
      <c r="KG333" s="175"/>
      <c r="KH333" s="175"/>
      <c r="KI333" s="175"/>
      <c r="KJ333" s="175"/>
      <c r="KK333" s="175"/>
      <c r="KL333" s="175"/>
      <c r="KM333" s="175"/>
      <c r="KN333" s="175"/>
      <c r="KO333" s="175"/>
      <c r="KP333" s="175"/>
      <c r="KQ333" s="175"/>
      <c r="KR333" s="175"/>
      <c r="KS333" s="175"/>
      <c r="KT333" s="175"/>
      <c r="KU333" s="175"/>
    </row>
    <row r="334" spans="1:307" x14ac:dyDescent="0.2">
      <c r="A334" s="172"/>
      <c r="B334" s="172"/>
      <c r="C334" s="172"/>
      <c r="D334" s="172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  <c r="AR334" s="172"/>
      <c r="AS334" s="172"/>
      <c r="AT334" s="172"/>
      <c r="AU334" s="172"/>
      <c r="AV334" s="172"/>
      <c r="AW334" s="172"/>
      <c r="AX334" s="172"/>
      <c r="AY334" s="172"/>
      <c r="AZ334" s="172"/>
      <c r="BA334" s="172"/>
      <c r="BB334" s="172"/>
      <c r="BC334" s="172"/>
      <c r="BD334" s="172"/>
      <c r="BE334" s="172"/>
      <c r="BF334" s="172"/>
      <c r="BG334" s="172"/>
      <c r="BH334" s="172"/>
      <c r="BI334" s="172"/>
      <c r="BJ334" s="172"/>
      <c r="BK334" s="172"/>
      <c r="BL334" s="172"/>
      <c r="BM334" s="172"/>
      <c r="BN334" s="172"/>
      <c r="BO334" s="172"/>
      <c r="BP334" s="172"/>
      <c r="BQ334" s="172"/>
      <c r="BR334" s="172"/>
      <c r="BS334" s="172"/>
      <c r="BT334" s="172"/>
      <c r="BU334" s="172"/>
      <c r="BV334" s="172"/>
      <c r="BW334" s="172"/>
      <c r="BX334" s="175"/>
      <c r="BY334" s="175"/>
      <c r="BZ334" s="175"/>
      <c r="CA334" s="175"/>
      <c r="CB334" s="175"/>
      <c r="CC334" s="175"/>
      <c r="CD334" s="175"/>
      <c r="CE334" s="175"/>
      <c r="CF334" s="175"/>
      <c r="CG334" s="175"/>
      <c r="CH334" s="175"/>
      <c r="CI334" s="175"/>
      <c r="CJ334" s="175"/>
      <c r="CK334" s="175"/>
      <c r="CL334" s="175"/>
      <c r="CM334" s="175"/>
      <c r="CN334" s="175"/>
      <c r="CO334" s="175"/>
      <c r="CP334" s="175"/>
      <c r="CQ334" s="175"/>
      <c r="CR334" s="175"/>
      <c r="CS334" s="175"/>
      <c r="CT334" s="175"/>
      <c r="CU334" s="175"/>
      <c r="CV334" s="175"/>
      <c r="CW334" s="175"/>
      <c r="CX334" s="175"/>
      <c r="CY334" s="175"/>
      <c r="CZ334" s="175"/>
      <c r="DA334" s="175"/>
      <c r="DB334" s="175"/>
      <c r="DC334" s="175"/>
      <c r="DD334" s="175"/>
      <c r="DE334" s="175"/>
      <c r="DF334" s="175"/>
      <c r="DG334" s="175"/>
      <c r="DH334" s="175"/>
      <c r="DI334" s="175"/>
      <c r="DJ334" s="175"/>
      <c r="DK334" s="175"/>
      <c r="DL334" s="175"/>
      <c r="DM334" s="175"/>
      <c r="DN334" s="175"/>
      <c r="DO334" s="175"/>
      <c r="DP334" s="175"/>
      <c r="DQ334" s="175"/>
      <c r="DR334" s="175"/>
      <c r="DS334" s="175"/>
      <c r="DT334" s="175"/>
      <c r="DU334" s="175"/>
      <c r="DV334" s="175"/>
      <c r="DW334" s="175"/>
      <c r="DX334" s="175"/>
      <c r="DY334" s="175"/>
      <c r="DZ334" s="175"/>
      <c r="EA334" s="175"/>
      <c r="EB334" s="175"/>
      <c r="EC334" s="175"/>
      <c r="ED334" s="175"/>
      <c r="EE334" s="175"/>
      <c r="EF334" s="175"/>
      <c r="EG334" s="175"/>
      <c r="EH334" s="175"/>
      <c r="EI334" s="175"/>
      <c r="EJ334" s="175"/>
      <c r="EK334" s="175"/>
      <c r="EL334" s="175"/>
      <c r="EM334" s="175"/>
      <c r="EN334" s="175"/>
      <c r="EO334" s="175"/>
      <c r="EP334" s="175"/>
      <c r="EQ334" s="175"/>
      <c r="ER334" s="175"/>
      <c r="ES334" s="175"/>
      <c r="ET334" s="175"/>
      <c r="EU334" s="175"/>
      <c r="EV334" s="175"/>
      <c r="EW334" s="175"/>
      <c r="EX334" s="175"/>
      <c r="EY334" s="175"/>
      <c r="EZ334" s="175"/>
      <c r="FA334" s="175"/>
      <c r="FB334" s="175"/>
      <c r="FC334" s="175"/>
      <c r="FD334" s="175"/>
      <c r="FE334" s="175"/>
      <c r="FF334" s="175"/>
      <c r="FG334" s="175"/>
      <c r="FH334" s="175"/>
      <c r="FI334" s="175"/>
      <c r="FJ334" s="175"/>
      <c r="FK334" s="175"/>
      <c r="FL334" s="175"/>
      <c r="FM334" s="175"/>
      <c r="FN334" s="175"/>
      <c r="FO334" s="175"/>
      <c r="FP334" s="175"/>
      <c r="FQ334" s="175"/>
      <c r="FR334" s="175"/>
      <c r="FS334" s="175"/>
      <c r="FT334" s="175"/>
      <c r="FU334" s="175"/>
      <c r="FV334" s="175"/>
      <c r="FW334" s="175"/>
      <c r="FX334" s="175"/>
      <c r="FY334" s="175"/>
      <c r="FZ334" s="175"/>
      <c r="GA334" s="175"/>
      <c r="GB334" s="175"/>
      <c r="GC334" s="175"/>
      <c r="GD334" s="175"/>
      <c r="GE334" s="175"/>
      <c r="GF334" s="175"/>
      <c r="GG334" s="175"/>
      <c r="GH334" s="175"/>
      <c r="GI334" s="175"/>
      <c r="GJ334" s="175"/>
      <c r="GK334" s="175"/>
      <c r="GL334" s="175"/>
      <c r="GM334" s="175"/>
      <c r="GN334" s="175"/>
      <c r="GO334" s="175"/>
      <c r="GP334" s="175"/>
      <c r="GQ334" s="175"/>
      <c r="GR334" s="175"/>
      <c r="GS334" s="175"/>
      <c r="GT334" s="175"/>
      <c r="GU334" s="175"/>
      <c r="GV334" s="175"/>
      <c r="GW334" s="175"/>
      <c r="GX334" s="175"/>
      <c r="GY334" s="175"/>
      <c r="GZ334" s="175"/>
      <c r="HA334" s="175"/>
      <c r="HB334" s="175"/>
      <c r="HC334" s="175"/>
      <c r="HD334" s="175"/>
      <c r="HE334" s="175"/>
      <c r="HF334" s="175"/>
      <c r="HG334" s="175"/>
      <c r="HH334" s="175"/>
      <c r="HI334" s="175"/>
      <c r="HJ334" s="175"/>
      <c r="HK334" s="175"/>
      <c r="HL334" s="175"/>
      <c r="HM334" s="175"/>
      <c r="HN334" s="175"/>
      <c r="HO334" s="175"/>
      <c r="HP334" s="175"/>
      <c r="HQ334" s="175"/>
      <c r="HR334" s="175"/>
      <c r="HS334" s="175"/>
      <c r="HT334" s="175"/>
      <c r="HU334" s="175"/>
      <c r="HV334" s="175"/>
      <c r="HW334" s="175"/>
      <c r="HX334" s="175"/>
      <c r="HY334" s="175"/>
      <c r="HZ334" s="175"/>
      <c r="IA334" s="175"/>
      <c r="IB334" s="175"/>
      <c r="IC334" s="175"/>
      <c r="ID334" s="175"/>
      <c r="IE334" s="175"/>
      <c r="IF334" s="175"/>
      <c r="IG334" s="175"/>
      <c r="IH334" s="175"/>
      <c r="II334" s="175"/>
      <c r="IJ334" s="175"/>
      <c r="IK334" s="175"/>
      <c r="IL334" s="175"/>
      <c r="IM334" s="175"/>
      <c r="IN334" s="175"/>
      <c r="IO334" s="175"/>
      <c r="IP334" s="175"/>
      <c r="IQ334" s="175"/>
      <c r="IR334" s="175"/>
      <c r="IS334" s="175"/>
      <c r="IT334" s="175"/>
      <c r="IU334" s="175"/>
      <c r="IV334" s="175"/>
      <c r="IW334" s="175"/>
      <c r="IX334" s="175"/>
      <c r="IY334" s="175"/>
      <c r="IZ334" s="175"/>
      <c r="JA334" s="175"/>
      <c r="JB334" s="175"/>
      <c r="JC334" s="175"/>
      <c r="JD334" s="175"/>
      <c r="JE334" s="175"/>
      <c r="JF334" s="175"/>
      <c r="JG334" s="175"/>
      <c r="JH334" s="175"/>
      <c r="JI334" s="175"/>
      <c r="JJ334" s="175"/>
      <c r="JK334" s="175"/>
      <c r="JL334" s="175"/>
      <c r="JM334" s="175"/>
      <c r="JN334" s="175"/>
      <c r="JO334" s="175"/>
      <c r="JP334" s="175"/>
      <c r="JQ334" s="175"/>
      <c r="JR334" s="175"/>
      <c r="JS334" s="175"/>
      <c r="JT334" s="175"/>
      <c r="JU334" s="175"/>
      <c r="JV334" s="175"/>
      <c r="JW334" s="175"/>
      <c r="JX334" s="175"/>
      <c r="JY334" s="175"/>
      <c r="JZ334" s="175"/>
      <c r="KA334" s="175"/>
      <c r="KB334" s="175"/>
      <c r="KC334" s="175"/>
      <c r="KD334" s="175"/>
      <c r="KE334" s="175"/>
      <c r="KF334" s="175"/>
      <c r="KG334" s="175"/>
      <c r="KH334" s="175"/>
      <c r="KI334" s="175"/>
      <c r="KJ334" s="175"/>
      <c r="KK334" s="175"/>
      <c r="KL334" s="175"/>
      <c r="KM334" s="175"/>
      <c r="KN334" s="175"/>
      <c r="KO334" s="175"/>
      <c r="KP334" s="175"/>
      <c r="KQ334" s="175"/>
      <c r="KR334" s="175"/>
      <c r="KS334" s="175"/>
      <c r="KT334" s="175"/>
      <c r="KU334" s="175"/>
    </row>
    <row r="335" spans="1:307" x14ac:dyDescent="0.2">
      <c r="A335" s="172"/>
      <c r="B335" s="172"/>
      <c r="C335" s="172"/>
      <c r="D335" s="172"/>
      <c r="E335" s="172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72"/>
      <c r="AS335" s="172"/>
      <c r="AT335" s="172"/>
      <c r="AU335" s="172"/>
      <c r="AV335" s="172"/>
      <c r="AW335" s="172"/>
      <c r="AX335" s="172"/>
      <c r="AY335" s="172"/>
      <c r="AZ335" s="172"/>
      <c r="BA335" s="172"/>
      <c r="BB335" s="172"/>
      <c r="BC335" s="172"/>
      <c r="BD335" s="172"/>
      <c r="BE335" s="172"/>
      <c r="BF335" s="172"/>
      <c r="BG335" s="172"/>
      <c r="BH335" s="172"/>
      <c r="BI335" s="172"/>
      <c r="BJ335" s="172"/>
      <c r="BK335" s="172"/>
      <c r="BL335" s="172"/>
      <c r="BM335" s="172"/>
      <c r="BN335" s="172"/>
      <c r="BO335" s="172"/>
      <c r="BP335" s="172"/>
      <c r="BQ335" s="172"/>
      <c r="BR335" s="172"/>
      <c r="BS335" s="172"/>
      <c r="BT335" s="172"/>
      <c r="BU335" s="172"/>
      <c r="BV335" s="172"/>
      <c r="BW335" s="172"/>
      <c r="BX335" s="175"/>
      <c r="BY335" s="175"/>
      <c r="BZ335" s="175"/>
      <c r="CA335" s="175"/>
      <c r="CB335" s="175"/>
      <c r="CC335" s="175"/>
      <c r="CD335" s="175"/>
      <c r="CE335" s="175"/>
      <c r="CF335" s="175"/>
      <c r="CG335" s="175"/>
      <c r="CH335" s="175"/>
      <c r="CI335" s="175"/>
      <c r="CJ335" s="175"/>
      <c r="CK335" s="175"/>
      <c r="CL335" s="175"/>
      <c r="CM335" s="175"/>
      <c r="CN335" s="175"/>
      <c r="CO335" s="175"/>
      <c r="CP335" s="175"/>
      <c r="CQ335" s="175"/>
      <c r="CR335" s="175"/>
      <c r="CS335" s="175"/>
      <c r="CT335" s="175"/>
      <c r="CU335" s="175"/>
      <c r="CV335" s="175"/>
      <c r="CW335" s="175"/>
      <c r="CX335" s="175"/>
      <c r="CY335" s="175"/>
      <c r="CZ335" s="175"/>
      <c r="DA335" s="175"/>
      <c r="DB335" s="175"/>
      <c r="DC335" s="175"/>
      <c r="DD335" s="175"/>
      <c r="DE335" s="175"/>
      <c r="DF335" s="175"/>
      <c r="DG335" s="175"/>
      <c r="DH335" s="175"/>
      <c r="DI335" s="175"/>
      <c r="DJ335" s="175"/>
      <c r="DK335" s="175"/>
      <c r="DL335" s="175"/>
      <c r="DM335" s="175"/>
      <c r="DN335" s="175"/>
      <c r="DO335" s="175"/>
      <c r="DP335" s="175"/>
      <c r="DQ335" s="175"/>
      <c r="DR335" s="175"/>
      <c r="DS335" s="175"/>
      <c r="DT335" s="175"/>
      <c r="DU335" s="175"/>
      <c r="DV335" s="175"/>
      <c r="DW335" s="175"/>
      <c r="DX335" s="175"/>
      <c r="DY335" s="175"/>
      <c r="DZ335" s="175"/>
      <c r="EA335" s="175"/>
      <c r="EB335" s="175"/>
      <c r="EC335" s="175"/>
      <c r="ED335" s="175"/>
      <c r="EE335" s="175"/>
      <c r="EF335" s="175"/>
      <c r="EG335" s="175"/>
      <c r="EH335" s="175"/>
      <c r="EI335" s="175"/>
      <c r="EJ335" s="175"/>
      <c r="EK335" s="175"/>
      <c r="EL335" s="175"/>
      <c r="EM335" s="175"/>
      <c r="EN335" s="175"/>
      <c r="EO335" s="175"/>
      <c r="EP335" s="175"/>
      <c r="EQ335" s="175"/>
      <c r="ER335" s="175"/>
      <c r="ES335" s="175"/>
      <c r="ET335" s="175"/>
      <c r="EU335" s="175"/>
      <c r="EV335" s="175"/>
      <c r="EW335" s="175"/>
      <c r="EX335" s="175"/>
      <c r="EY335" s="175"/>
      <c r="EZ335" s="175"/>
      <c r="FA335" s="175"/>
      <c r="FB335" s="175"/>
      <c r="FC335" s="175"/>
      <c r="FD335" s="175"/>
      <c r="FE335" s="175"/>
      <c r="FF335" s="175"/>
      <c r="FG335" s="175"/>
      <c r="FH335" s="175"/>
      <c r="FI335" s="175"/>
      <c r="FJ335" s="175"/>
      <c r="FK335" s="175"/>
      <c r="FL335" s="175"/>
      <c r="FM335" s="175"/>
      <c r="FN335" s="175"/>
      <c r="FO335" s="175"/>
      <c r="FP335" s="175"/>
      <c r="FQ335" s="175"/>
      <c r="FR335" s="175"/>
      <c r="FS335" s="175"/>
      <c r="FT335" s="175"/>
      <c r="FU335" s="175"/>
      <c r="FV335" s="175"/>
      <c r="FW335" s="175"/>
      <c r="FX335" s="175"/>
      <c r="FY335" s="175"/>
      <c r="FZ335" s="175"/>
      <c r="GA335" s="175"/>
      <c r="GB335" s="175"/>
      <c r="GC335" s="175"/>
      <c r="GD335" s="175"/>
      <c r="GE335" s="175"/>
      <c r="GF335" s="175"/>
      <c r="GG335" s="175"/>
      <c r="GH335" s="175"/>
      <c r="GI335" s="175"/>
      <c r="GJ335" s="175"/>
      <c r="GK335" s="175"/>
      <c r="GL335" s="175"/>
      <c r="GM335" s="175"/>
      <c r="GN335" s="175"/>
      <c r="GO335" s="175"/>
      <c r="GP335" s="175"/>
      <c r="GQ335" s="175"/>
      <c r="GR335" s="175"/>
      <c r="GS335" s="175"/>
      <c r="GT335" s="175"/>
      <c r="GU335" s="175"/>
      <c r="GV335" s="175"/>
      <c r="GW335" s="175"/>
      <c r="GX335" s="175"/>
      <c r="GY335" s="175"/>
      <c r="GZ335" s="175"/>
      <c r="HA335" s="175"/>
      <c r="HB335" s="175"/>
      <c r="HC335" s="175"/>
      <c r="HD335" s="175"/>
      <c r="HE335" s="175"/>
      <c r="HF335" s="175"/>
      <c r="HG335" s="175"/>
      <c r="HH335" s="175"/>
      <c r="HI335" s="175"/>
      <c r="HJ335" s="175"/>
      <c r="HK335" s="175"/>
      <c r="HL335" s="175"/>
      <c r="HM335" s="175"/>
      <c r="HN335" s="175"/>
      <c r="HO335" s="175"/>
      <c r="HP335" s="175"/>
      <c r="HQ335" s="175"/>
      <c r="HR335" s="175"/>
      <c r="HS335" s="175"/>
      <c r="HT335" s="175"/>
      <c r="HU335" s="175"/>
      <c r="HV335" s="175"/>
      <c r="HW335" s="175"/>
      <c r="HX335" s="175"/>
      <c r="HY335" s="175"/>
      <c r="HZ335" s="175"/>
      <c r="IA335" s="175"/>
      <c r="IB335" s="175"/>
      <c r="IC335" s="175"/>
      <c r="ID335" s="175"/>
      <c r="IE335" s="175"/>
      <c r="IF335" s="175"/>
      <c r="IG335" s="175"/>
      <c r="IH335" s="175"/>
      <c r="II335" s="175"/>
      <c r="IJ335" s="175"/>
      <c r="IK335" s="175"/>
      <c r="IL335" s="175"/>
      <c r="IM335" s="175"/>
      <c r="IN335" s="175"/>
      <c r="IO335" s="175"/>
      <c r="IP335" s="175"/>
      <c r="IQ335" s="175"/>
      <c r="IR335" s="175"/>
      <c r="IS335" s="175"/>
      <c r="IT335" s="175"/>
      <c r="IU335" s="175"/>
      <c r="IV335" s="175"/>
      <c r="IW335" s="175"/>
      <c r="IX335" s="175"/>
      <c r="IY335" s="175"/>
      <c r="IZ335" s="175"/>
      <c r="JA335" s="175"/>
      <c r="JB335" s="175"/>
      <c r="JC335" s="175"/>
      <c r="JD335" s="175"/>
      <c r="JE335" s="175"/>
      <c r="JF335" s="175"/>
      <c r="JG335" s="175"/>
      <c r="JH335" s="175"/>
      <c r="JI335" s="175"/>
      <c r="JJ335" s="175"/>
      <c r="JK335" s="175"/>
      <c r="JL335" s="175"/>
      <c r="JM335" s="175"/>
      <c r="JN335" s="175"/>
      <c r="JO335" s="175"/>
      <c r="JP335" s="175"/>
      <c r="JQ335" s="175"/>
      <c r="JR335" s="175"/>
      <c r="JS335" s="175"/>
      <c r="JT335" s="175"/>
      <c r="JU335" s="175"/>
      <c r="JV335" s="175"/>
      <c r="JW335" s="175"/>
      <c r="JX335" s="175"/>
      <c r="JY335" s="175"/>
      <c r="JZ335" s="175"/>
      <c r="KA335" s="175"/>
      <c r="KB335" s="175"/>
      <c r="KC335" s="175"/>
      <c r="KD335" s="175"/>
      <c r="KE335" s="175"/>
      <c r="KF335" s="175"/>
      <c r="KG335" s="175"/>
      <c r="KH335" s="175"/>
      <c r="KI335" s="175"/>
      <c r="KJ335" s="175"/>
      <c r="KK335" s="175"/>
      <c r="KL335" s="175"/>
      <c r="KM335" s="175"/>
      <c r="KN335" s="175"/>
      <c r="KO335" s="175"/>
      <c r="KP335" s="175"/>
      <c r="KQ335" s="175"/>
      <c r="KR335" s="175"/>
      <c r="KS335" s="175"/>
      <c r="KT335" s="175"/>
      <c r="KU335" s="175"/>
    </row>
    <row r="336" spans="1:307" x14ac:dyDescent="0.2">
      <c r="A336" s="172"/>
      <c r="B336" s="172"/>
      <c r="C336" s="172"/>
      <c r="D336" s="172"/>
      <c r="E336" s="172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  <c r="AP336" s="172"/>
      <c r="AQ336" s="172"/>
      <c r="AR336" s="172"/>
      <c r="AS336" s="172"/>
      <c r="AT336" s="172"/>
      <c r="AU336" s="172"/>
      <c r="AV336" s="172"/>
      <c r="AW336" s="172"/>
      <c r="AX336" s="172"/>
      <c r="AY336" s="172"/>
      <c r="AZ336" s="172"/>
      <c r="BA336" s="172"/>
      <c r="BB336" s="172"/>
      <c r="BC336" s="172"/>
      <c r="BD336" s="172"/>
      <c r="BE336" s="172"/>
      <c r="BF336" s="172"/>
      <c r="BG336" s="172"/>
      <c r="BH336" s="172"/>
      <c r="BI336" s="172"/>
      <c r="BJ336" s="172"/>
      <c r="BK336" s="172"/>
      <c r="BL336" s="172"/>
      <c r="BM336" s="172"/>
      <c r="BN336" s="172"/>
      <c r="BO336" s="172"/>
      <c r="BP336" s="172"/>
      <c r="BQ336" s="172"/>
      <c r="BR336" s="172"/>
      <c r="BS336" s="172"/>
      <c r="BT336" s="172"/>
      <c r="BU336" s="172"/>
      <c r="BV336" s="172"/>
      <c r="BW336" s="172"/>
      <c r="BX336" s="175"/>
      <c r="BY336" s="175"/>
      <c r="BZ336" s="175"/>
      <c r="CA336" s="175"/>
      <c r="CB336" s="175"/>
      <c r="CC336" s="175"/>
      <c r="CD336" s="175"/>
      <c r="CE336" s="175"/>
      <c r="CF336" s="175"/>
      <c r="CG336" s="175"/>
      <c r="CH336" s="175"/>
      <c r="CI336" s="175"/>
      <c r="CJ336" s="175"/>
      <c r="CK336" s="175"/>
      <c r="CL336" s="175"/>
      <c r="CM336" s="175"/>
      <c r="CN336" s="175"/>
      <c r="CO336" s="175"/>
      <c r="CP336" s="175"/>
      <c r="CQ336" s="175"/>
      <c r="CR336" s="175"/>
      <c r="CS336" s="175"/>
      <c r="CT336" s="175"/>
      <c r="CU336" s="175"/>
      <c r="CV336" s="175"/>
      <c r="CW336" s="175"/>
      <c r="CX336" s="175"/>
      <c r="CY336" s="175"/>
      <c r="CZ336" s="175"/>
      <c r="DA336" s="175"/>
      <c r="DB336" s="175"/>
      <c r="DC336" s="175"/>
      <c r="DD336" s="175"/>
      <c r="DE336" s="175"/>
      <c r="DF336" s="175"/>
      <c r="DG336" s="175"/>
      <c r="DH336" s="175"/>
      <c r="DI336" s="175"/>
      <c r="DJ336" s="175"/>
      <c r="DK336" s="175"/>
      <c r="DL336" s="175"/>
      <c r="DM336" s="175"/>
      <c r="DN336" s="175"/>
      <c r="DO336" s="175"/>
      <c r="DP336" s="175"/>
      <c r="DQ336" s="175"/>
      <c r="DR336" s="175"/>
      <c r="DS336" s="175"/>
      <c r="DT336" s="175"/>
      <c r="DU336" s="175"/>
      <c r="DV336" s="175"/>
      <c r="DW336" s="175"/>
      <c r="DX336" s="175"/>
      <c r="DY336" s="175"/>
      <c r="DZ336" s="175"/>
      <c r="EA336" s="175"/>
      <c r="EB336" s="175"/>
      <c r="EC336" s="175"/>
      <c r="ED336" s="175"/>
      <c r="EE336" s="175"/>
      <c r="EF336" s="175"/>
      <c r="EG336" s="175"/>
      <c r="EH336" s="175"/>
      <c r="EI336" s="175"/>
      <c r="EJ336" s="175"/>
      <c r="EK336" s="175"/>
      <c r="EL336" s="175"/>
      <c r="EM336" s="175"/>
      <c r="EN336" s="175"/>
      <c r="EO336" s="175"/>
      <c r="EP336" s="175"/>
      <c r="EQ336" s="175"/>
      <c r="ER336" s="175"/>
      <c r="ES336" s="175"/>
      <c r="ET336" s="175"/>
      <c r="EU336" s="175"/>
      <c r="EV336" s="175"/>
      <c r="EW336" s="175"/>
      <c r="EX336" s="175"/>
      <c r="EY336" s="175"/>
      <c r="EZ336" s="175"/>
      <c r="FA336" s="175"/>
      <c r="FB336" s="175"/>
      <c r="FC336" s="175"/>
      <c r="FD336" s="175"/>
      <c r="FE336" s="175"/>
      <c r="FF336" s="175"/>
      <c r="FG336" s="175"/>
      <c r="FH336" s="175"/>
      <c r="FI336" s="175"/>
      <c r="FJ336" s="175"/>
      <c r="FK336" s="175"/>
      <c r="FL336" s="175"/>
      <c r="FM336" s="175"/>
      <c r="FN336" s="175"/>
      <c r="FO336" s="175"/>
      <c r="FP336" s="175"/>
      <c r="FQ336" s="175"/>
      <c r="FR336" s="175"/>
      <c r="FS336" s="175"/>
      <c r="FT336" s="175"/>
      <c r="FU336" s="175"/>
      <c r="FV336" s="175"/>
      <c r="FW336" s="175"/>
      <c r="FX336" s="175"/>
      <c r="FY336" s="175"/>
      <c r="FZ336" s="175"/>
      <c r="GA336" s="175"/>
      <c r="GB336" s="175"/>
      <c r="GC336" s="175"/>
      <c r="GD336" s="175"/>
      <c r="GE336" s="175"/>
      <c r="GF336" s="175"/>
      <c r="GG336" s="175"/>
      <c r="GH336" s="175"/>
      <c r="GI336" s="175"/>
      <c r="GJ336" s="175"/>
      <c r="GK336" s="175"/>
      <c r="GL336" s="175"/>
      <c r="GM336" s="175"/>
      <c r="GN336" s="175"/>
      <c r="GO336" s="175"/>
      <c r="GP336" s="175"/>
      <c r="GQ336" s="175"/>
      <c r="GR336" s="175"/>
      <c r="GS336" s="175"/>
      <c r="GT336" s="175"/>
      <c r="GU336" s="175"/>
      <c r="GV336" s="175"/>
      <c r="GW336" s="175"/>
      <c r="GX336" s="175"/>
      <c r="GY336" s="175"/>
      <c r="GZ336" s="175"/>
      <c r="HA336" s="175"/>
      <c r="HB336" s="175"/>
      <c r="HC336" s="175"/>
      <c r="HD336" s="175"/>
      <c r="HE336" s="175"/>
      <c r="HF336" s="175"/>
      <c r="HG336" s="175"/>
      <c r="HH336" s="175"/>
      <c r="HI336" s="175"/>
      <c r="HJ336" s="175"/>
      <c r="HK336" s="175"/>
      <c r="HL336" s="175"/>
      <c r="HM336" s="175"/>
      <c r="HN336" s="175"/>
      <c r="HO336" s="175"/>
      <c r="HP336" s="175"/>
      <c r="HQ336" s="175"/>
      <c r="HR336" s="175"/>
      <c r="HS336" s="175"/>
      <c r="HT336" s="175"/>
      <c r="HU336" s="175"/>
      <c r="HV336" s="175"/>
      <c r="HW336" s="175"/>
      <c r="HX336" s="175"/>
      <c r="HY336" s="175"/>
      <c r="HZ336" s="175"/>
      <c r="IA336" s="175"/>
      <c r="IB336" s="175"/>
      <c r="IC336" s="175"/>
      <c r="ID336" s="175"/>
      <c r="IE336" s="175"/>
      <c r="IF336" s="175"/>
      <c r="IG336" s="175"/>
      <c r="IH336" s="175"/>
      <c r="II336" s="175"/>
      <c r="IJ336" s="175"/>
      <c r="IK336" s="175"/>
      <c r="IL336" s="175"/>
      <c r="IM336" s="175"/>
      <c r="IN336" s="175"/>
      <c r="IO336" s="175"/>
      <c r="IP336" s="175"/>
      <c r="IQ336" s="175"/>
      <c r="IR336" s="175"/>
      <c r="IS336" s="175"/>
      <c r="IT336" s="175"/>
      <c r="IU336" s="175"/>
      <c r="IV336" s="175"/>
      <c r="IW336" s="175"/>
      <c r="IX336" s="175"/>
      <c r="IY336" s="175"/>
      <c r="IZ336" s="175"/>
      <c r="JA336" s="175"/>
      <c r="JB336" s="175"/>
      <c r="JC336" s="175"/>
      <c r="JD336" s="175"/>
      <c r="JE336" s="175"/>
      <c r="JF336" s="175"/>
      <c r="JG336" s="175"/>
      <c r="JH336" s="175"/>
      <c r="JI336" s="175"/>
      <c r="JJ336" s="175"/>
      <c r="JK336" s="175"/>
      <c r="JL336" s="175"/>
      <c r="JM336" s="175"/>
      <c r="JN336" s="175"/>
      <c r="JO336" s="175"/>
      <c r="JP336" s="175"/>
      <c r="JQ336" s="175"/>
      <c r="JR336" s="175"/>
      <c r="JS336" s="175"/>
      <c r="JT336" s="175"/>
      <c r="JU336" s="175"/>
      <c r="JV336" s="175"/>
      <c r="JW336" s="175"/>
      <c r="JX336" s="175"/>
      <c r="JY336" s="175"/>
      <c r="JZ336" s="175"/>
      <c r="KA336" s="175"/>
      <c r="KB336" s="175"/>
      <c r="KC336" s="175"/>
      <c r="KD336" s="175"/>
      <c r="KE336" s="175"/>
      <c r="KF336" s="175"/>
      <c r="KG336" s="175"/>
      <c r="KH336" s="175"/>
      <c r="KI336" s="175"/>
      <c r="KJ336" s="175"/>
      <c r="KK336" s="175"/>
      <c r="KL336" s="175"/>
      <c r="KM336" s="175"/>
      <c r="KN336" s="175"/>
      <c r="KO336" s="175"/>
      <c r="KP336" s="175"/>
      <c r="KQ336" s="175"/>
      <c r="KR336" s="175"/>
      <c r="KS336" s="175"/>
      <c r="KT336" s="175"/>
      <c r="KU336" s="175"/>
    </row>
    <row r="337" spans="1:307" x14ac:dyDescent="0.2">
      <c r="A337" s="172"/>
      <c r="B337" s="172"/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  <c r="AG337" s="172"/>
      <c r="AH337" s="172"/>
      <c r="AI337" s="172"/>
      <c r="AJ337" s="172"/>
      <c r="AK337" s="172"/>
      <c r="AL337" s="172"/>
      <c r="AM337" s="172"/>
      <c r="AN337" s="172"/>
      <c r="AO337" s="172"/>
      <c r="AP337" s="172"/>
      <c r="AQ337" s="172"/>
      <c r="AR337" s="172"/>
      <c r="AS337" s="172"/>
      <c r="AT337" s="172"/>
      <c r="AU337" s="172"/>
      <c r="AV337" s="172"/>
      <c r="AW337" s="172"/>
      <c r="AX337" s="172"/>
      <c r="AY337" s="172"/>
      <c r="AZ337" s="172"/>
      <c r="BA337" s="172"/>
      <c r="BB337" s="172"/>
      <c r="BC337" s="172"/>
      <c r="BD337" s="172"/>
      <c r="BE337" s="172"/>
      <c r="BF337" s="172"/>
      <c r="BG337" s="172"/>
      <c r="BH337" s="172"/>
      <c r="BI337" s="172"/>
      <c r="BJ337" s="172"/>
      <c r="BK337" s="172"/>
      <c r="BL337" s="172"/>
      <c r="BM337" s="172"/>
      <c r="BN337" s="172"/>
      <c r="BO337" s="172"/>
      <c r="BP337" s="172"/>
      <c r="BQ337" s="172"/>
      <c r="BR337" s="172"/>
      <c r="BS337" s="172"/>
      <c r="BT337" s="172"/>
      <c r="BU337" s="172"/>
      <c r="BV337" s="172"/>
      <c r="BW337" s="172"/>
      <c r="BX337" s="175"/>
      <c r="BY337" s="175"/>
      <c r="BZ337" s="175"/>
      <c r="CA337" s="175"/>
      <c r="CB337" s="175"/>
      <c r="CC337" s="175"/>
      <c r="CD337" s="175"/>
      <c r="CE337" s="175"/>
      <c r="CF337" s="175"/>
      <c r="CG337" s="175"/>
      <c r="CH337" s="175"/>
      <c r="CI337" s="175"/>
      <c r="CJ337" s="175"/>
      <c r="CK337" s="175"/>
      <c r="CL337" s="175"/>
      <c r="CM337" s="175"/>
      <c r="CN337" s="175"/>
      <c r="CO337" s="175"/>
      <c r="CP337" s="175"/>
      <c r="CQ337" s="175"/>
      <c r="CR337" s="175"/>
      <c r="CS337" s="175"/>
      <c r="CT337" s="175"/>
      <c r="CU337" s="175"/>
      <c r="CV337" s="175"/>
      <c r="CW337" s="175"/>
      <c r="CX337" s="175"/>
      <c r="CY337" s="175"/>
      <c r="CZ337" s="175"/>
      <c r="DA337" s="175"/>
      <c r="DB337" s="175"/>
      <c r="DC337" s="175"/>
      <c r="DD337" s="175"/>
      <c r="DE337" s="175"/>
      <c r="DF337" s="175"/>
      <c r="DG337" s="175"/>
      <c r="DH337" s="175"/>
      <c r="DI337" s="175"/>
      <c r="DJ337" s="175"/>
      <c r="DK337" s="175"/>
      <c r="DL337" s="175"/>
      <c r="DM337" s="175"/>
      <c r="DN337" s="175"/>
      <c r="DO337" s="175"/>
      <c r="DP337" s="175"/>
      <c r="DQ337" s="175"/>
      <c r="DR337" s="175"/>
      <c r="DS337" s="175"/>
      <c r="DT337" s="175"/>
      <c r="DU337" s="175"/>
      <c r="DV337" s="175"/>
      <c r="DW337" s="175"/>
      <c r="DX337" s="175"/>
      <c r="DY337" s="175"/>
      <c r="DZ337" s="175"/>
      <c r="EA337" s="175"/>
      <c r="EB337" s="175"/>
      <c r="EC337" s="175"/>
      <c r="ED337" s="175"/>
      <c r="EE337" s="175"/>
      <c r="EF337" s="175"/>
      <c r="EG337" s="175"/>
      <c r="EH337" s="175"/>
      <c r="EI337" s="175"/>
      <c r="EJ337" s="175"/>
      <c r="EK337" s="175"/>
      <c r="EL337" s="175"/>
      <c r="EM337" s="175"/>
      <c r="EN337" s="175"/>
      <c r="EO337" s="175"/>
      <c r="EP337" s="175"/>
      <c r="EQ337" s="175"/>
      <c r="ER337" s="175"/>
      <c r="ES337" s="175"/>
      <c r="ET337" s="175"/>
      <c r="EU337" s="175"/>
      <c r="EV337" s="175"/>
      <c r="EW337" s="175"/>
      <c r="EX337" s="175"/>
      <c r="EY337" s="175"/>
      <c r="EZ337" s="175"/>
      <c r="FA337" s="175"/>
      <c r="FB337" s="175"/>
      <c r="FC337" s="175"/>
      <c r="FD337" s="175"/>
      <c r="FE337" s="175"/>
      <c r="FF337" s="175"/>
      <c r="FG337" s="175"/>
      <c r="FH337" s="175"/>
      <c r="FI337" s="175"/>
      <c r="FJ337" s="175"/>
      <c r="FK337" s="175"/>
      <c r="FL337" s="175"/>
      <c r="FM337" s="175"/>
      <c r="FN337" s="175"/>
      <c r="FO337" s="175"/>
      <c r="FP337" s="175"/>
      <c r="FQ337" s="175"/>
      <c r="FR337" s="175"/>
      <c r="FS337" s="175"/>
      <c r="FT337" s="175"/>
      <c r="FU337" s="175"/>
      <c r="FV337" s="175"/>
      <c r="FW337" s="175"/>
      <c r="FX337" s="175"/>
      <c r="FY337" s="175"/>
      <c r="FZ337" s="175"/>
      <c r="GA337" s="175"/>
      <c r="GB337" s="175"/>
      <c r="GC337" s="175"/>
      <c r="GD337" s="175"/>
      <c r="GE337" s="175"/>
      <c r="GF337" s="175"/>
      <c r="GG337" s="175"/>
      <c r="GH337" s="175"/>
      <c r="GI337" s="175"/>
      <c r="GJ337" s="175"/>
      <c r="GK337" s="175"/>
      <c r="GL337" s="175"/>
      <c r="GM337" s="175"/>
      <c r="GN337" s="175"/>
      <c r="GO337" s="175"/>
      <c r="GP337" s="175"/>
      <c r="GQ337" s="175"/>
      <c r="GR337" s="175"/>
      <c r="GS337" s="175"/>
      <c r="GT337" s="175"/>
      <c r="GU337" s="175"/>
      <c r="GV337" s="175"/>
      <c r="GW337" s="175"/>
      <c r="GX337" s="175"/>
      <c r="GY337" s="175"/>
      <c r="GZ337" s="175"/>
      <c r="HA337" s="175"/>
      <c r="HB337" s="175"/>
      <c r="HC337" s="175"/>
      <c r="HD337" s="175"/>
      <c r="HE337" s="175"/>
      <c r="HF337" s="175"/>
      <c r="HG337" s="175"/>
      <c r="HH337" s="175"/>
      <c r="HI337" s="175"/>
      <c r="HJ337" s="175"/>
      <c r="HK337" s="175"/>
      <c r="HL337" s="175"/>
      <c r="HM337" s="175"/>
      <c r="HN337" s="175"/>
      <c r="HO337" s="175"/>
      <c r="HP337" s="175"/>
      <c r="HQ337" s="175"/>
      <c r="HR337" s="175"/>
      <c r="HS337" s="175"/>
      <c r="HT337" s="175"/>
      <c r="HU337" s="175"/>
      <c r="HV337" s="175"/>
      <c r="HW337" s="175"/>
      <c r="HX337" s="175"/>
      <c r="HY337" s="175"/>
      <c r="HZ337" s="175"/>
      <c r="IA337" s="175"/>
      <c r="IB337" s="175"/>
      <c r="IC337" s="175"/>
      <c r="ID337" s="175"/>
      <c r="IE337" s="175"/>
      <c r="IF337" s="175"/>
      <c r="IG337" s="175"/>
      <c r="IH337" s="175"/>
      <c r="II337" s="175"/>
      <c r="IJ337" s="175"/>
      <c r="IK337" s="175"/>
      <c r="IL337" s="175"/>
      <c r="IM337" s="175"/>
      <c r="IN337" s="175"/>
      <c r="IO337" s="175"/>
      <c r="IP337" s="175"/>
      <c r="IQ337" s="175"/>
      <c r="IR337" s="175"/>
      <c r="IS337" s="175"/>
      <c r="IT337" s="175"/>
      <c r="IU337" s="175"/>
      <c r="IV337" s="175"/>
      <c r="IW337" s="175"/>
      <c r="IX337" s="175"/>
      <c r="IY337" s="175"/>
      <c r="IZ337" s="175"/>
      <c r="JA337" s="175"/>
      <c r="JB337" s="175"/>
      <c r="JC337" s="175"/>
      <c r="JD337" s="175"/>
      <c r="JE337" s="175"/>
      <c r="JF337" s="175"/>
      <c r="JG337" s="175"/>
      <c r="JH337" s="175"/>
      <c r="JI337" s="175"/>
      <c r="JJ337" s="175"/>
      <c r="JK337" s="175"/>
      <c r="JL337" s="175"/>
      <c r="JM337" s="175"/>
      <c r="JN337" s="175"/>
      <c r="JO337" s="175"/>
      <c r="JP337" s="175"/>
      <c r="JQ337" s="175"/>
      <c r="JR337" s="175"/>
      <c r="JS337" s="175"/>
      <c r="JT337" s="175"/>
      <c r="JU337" s="175"/>
      <c r="JV337" s="175"/>
      <c r="JW337" s="175"/>
      <c r="JX337" s="175"/>
      <c r="JY337" s="175"/>
      <c r="JZ337" s="175"/>
      <c r="KA337" s="175"/>
      <c r="KB337" s="175"/>
      <c r="KC337" s="175"/>
      <c r="KD337" s="175"/>
      <c r="KE337" s="175"/>
      <c r="KF337" s="175"/>
      <c r="KG337" s="175"/>
      <c r="KH337" s="175"/>
      <c r="KI337" s="175"/>
      <c r="KJ337" s="175"/>
      <c r="KK337" s="175"/>
      <c r="KL337" s="175"/>
      <c r="KM337" s="175"/>
      <c r="KN337" s="175"/>
      <c r="KO337" s="175"/>
      <c r="KP337" s="175"/>
      <c r="KQ337" s="175"/>
      <c r="KR337" s="175"/>
      <c r="KS337" s="175"/>
      <c r="KT337" s="175"/>
      <c r="KU337" s="175"/>
    </row>
    <row r="338" spans="1:307" x14ac:dyDescent="0.2">
      <c r="A338" s="172"/>
      <c r="B338" s="172"/>
      <c r="C338" s="172"/>
      <c r="D338" s="172"/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72"/>
      <c r="AT338" s="172"/>
      <c r="AU338" s="172"/>
      <c r="AV338" s="172"/>
      <c r="AW338" s="172"/>
      <c r="AX338" s="172"/>
      <c r="AY338" s="172"/>
      <c r="AZ338" s="172"/>
      <c r="BA338" s="172"/>
      <c r="BB338" s="172"/>
      <c r="BC338" s="172"/>
      <c r="BD338" s="172"/>
      <c r="BE338" s="172"/>
      <c r="BF338" s="172"/>
      <c r="BG338" s="172"/>
      <c r="BH338" s="172"/>
      <c r="BI338" s="172"/>
      <c r="BJ338" s="172"/>
      <c r="BK338" s="172"/>
      <c r="BL338" s="172"/>
      <c r="BM338" s="172"/>
      <c r="BN338" s="172"/>
      <c r="BO338" s="172"/>
      <c r="BP338" s="172"/>
      <c r="BQ338" s="172"/>
      <c r="BR338" s="172"/>
      <c r="BS338" s="172"/>
      <c r="BT338" s="172"/>
      <c r="BU338" s="172"/>
      <c r="BV338" s="172"/>
      <c r="BW338" s="172"/>
      <c r="BX338" s="175"/>
      <c r="BY338" s="175"/>
      <c r="BZ338" s="175"/>
      <c r="CA338" s="175"/>
      <c r="CB338" s="175"/>
      <c r="CC338" s="175"/>
      <c r="CD338" s="175"/>
      <c r="CE338" s="175"/>
      <c r="CF338" s="175"/>
      <c r="CG338" s="175"/>
      <c r="CH338" s="175"/>
      <c r="CI338" s="175"/>
      <c r="CJ338" s="175"/>
      <c r="CK338" s="175"/>
      <c r="CL338" s="175"/>
      <c r="CM338" s="175"/>
      <c r="CN338" s="175"/>
      <c r="CO338" s="175"/>
      <c r="CP338" s="175"/>
      <c r="CQ338" s="175"/>
      <c r="CR338" s="175"/>
      <c r="CS338" s="175"/>
      <c r="CT338" s="175"/>
      <c r="CU338" s="175"/>
      <c r="CV338" s="175"/>
      <c r="CW338" s="175"/>
      <c r="CX338" s="175"/>
      <c r="CY338" s="175"/>
      <c r="CZ338" s="175"/>
      <c r="DA338" s="175"/>
      <c r="DB338" s="175"/>
      <c r="DC338" s="175"/>
      <c r="DD338" s="175"/>
      <c r="DE338" s="175"/>
      <c r="DF338" s="175"/>
      <c r="DG338" s="175"/>
      <c r="DH338" s="175"/>
      <c r="DI338" s="175"/>
      <c r="DJ338" s="175"/>
      <c r="DK338" s="175"/>
      <c r="DL338" s="175"/>
      <c r="DM338" s="175"/>
      <c r="DN338" s="175"/>
      <c r="DO338" s="175"/>
      <c r="DP338" s="175"/>
      <c r="DQ338" s="175"/>
      <c r="DR338" s="175"/>
      <c r="DS338" s="175"/>
      <c r="DT338" s="175"/>
      <c r="DU338" s="175"/>
      <c r="DV338" s="175"/>
      <c r="DW338" s="175"/>
      <c r="DX338" s="175"/>
      <c r="DY338" s="175"/>
      <c r="DZ338" s="175"/>
      <c r="EA338" s="175"/>
      <c r="EB338" s="175"/>
      <c r="EC338" s="175"/>
      <c r="ED338" s="175"/>
      <c r="EE338" s="175"/>
      <c r="EF338" s="175"/>
      <c r="EG338" s="175"/>
      <c r="EH338" s="175"/>
      <c r="EI338" s="175"/>
      <c r="EJ338" s="175"/>
      <c r="EK338" s="175"/>
      <c r="EL338" s="175"/>
      <c r="EM338" s="175"/>
      <c r="EN338" s="175"/>
      <c r="EO338" s="175"/>
      <c r="EP338" s="175"/>
      <c r="EQ338" s="175"/>
      <c r="ER338" s="175"/>
      <c r="ES338" s="175"/>
      <c r="ET338" s="175"/>
      <c r="EU338" s="175"/>
      <c r="EV338" s="175"/>
      <c r="EW338" s="175"/>
      <c r="EX338" s="175"/>
      <c r="EY338" s="175"/>
      <c r="EZ338" s="175"/>
      <c r="FA338" s="175"/>
      <c r="FB338" s="175"/>
      <c r="FC338" s="175"/>
      <c r="FD338" s="175"/>
      <c r="FE338" s="175"/>
      <c r="FF338" s="175"/>
      <c r="FG338" s="175"/>
      <c r="FH338" s="175"/>
      <c r="FI338" s="175"/>
      <c r="FJ338" s="175"/>
      <c r="FK338" s="175"/>
      <c r="FL338" s="175"/>
      <c r="FM338" s="175"/>
      <c r="FN338" s="175"/>
      <c r="FO338" s="175"/>
      <c r="FP338" s="175"/>
      <c r="FQ338" s="175"/>
      <c r="FR338" s="175"/>
      <c r="FS338" s="175"/>
      <c r="FT338" s="175"/>
      <c r="FU338" s="175"/>
      <c r="FV338" s="175"/>
      <c r="FW338" s="175"/>
      <c r="FX338" s="175"/>
      <c r="FY338" s="175"/>
      <c r="FZ338" s="175"/>
      <c r="GA338" s="175"/>
      <c r="GB338" s="175"/>
      <c r="GC338" s="175"/>
      <c r="GD338" s="175"/>
      <c r="GE338" s="175"/>
      <c r="GF338" s="175"/>
      <c r="GG338" s="175"/>
      <c r="GH338" s="175"/>
      <c r="GI338" s="175"/>
      <c r="GJ338" s="175"/>
      <c r="GK338" s="175"/>
      <c r="GL338" s="175"/>
      <c r="GM338" s="175"/>
      <c r="GN338" s="175"/>
      <c r="GO338" s="175"/>
      <c r="GP338" s="175"/>
      <c r="GQ338" s="175"/>
      <c r="GR338" s="175"/>
      <c r="GS338" s="175"/>
      <c r="GT338" s="175"/>
      <c r="GU338" s="175"/>
      <c r="GV338" s="175"/>
      <c r="GW338" s="175"/>
      <c r="GX338" s="175"/>
      <c r="GY338" s="175"/>
      <c r="GZ338" s="175"/>
      <c r="HA338" s="175"/>
      <c r="HB338" s="175"/>
      <c r="HC338" s="175"/>
      <c r="HD338" s="175"/>
      <c r="HE338" s="175"/>
      <c r="HF338" s="175"/>
      <c r="HG338" s="175"/>
      <c r="HH338" s="175"/>
      <c r="HI338" s="175"/>
      <c r="HJ338" s="175"/>
      <c r="HK338" s="175"/>
      <c r="HL338" s="175"/>
      <c r="HM338" s="175"/>
      <c r="HN338" s="175"/>
      <c r="HO338" s="175"/>
      <c r="HP338" s="175"/>
      <c r="HQ338" s="175"/>
      <c r="HR338" s="175"/>
      <c r="HS338" s="175"/>
      <c r="HT338" s="175"/>
      <c r="HU338" s="175"/>
      <c r="HV338" s="175"/>
      <c r="HW338" s="175"/>
      <c r="HX338" s="175"/>
      <c r="HY338" s="175"/>
      <c r="HZ338" s="175"/>
      <c r="IA338" s="175"/>
      <c r="IB338" s="175"/>
      <c r="IC338" s="175"/>
      <c r="ID338" s="175"/>
      <c r="IE338" s="175"/>
      <c r="IF338" s="175"/>
      <c r="IG338" s="175"/>
      <c r="IH338" s="175"/>
      <c r="II338" s="175"/>
      <c r="IJ338" s="175"/>
      <c r="IK338" s="175"/>
      <c r="IL338" s="175"/>
      <c r="IM338" s="175"/>
      <c r="IN338" s="175"/>
      <c r="IO338" s="175"/>
      <c r="IP338" s="175"/>
      <c r="IQ338" s="175"/>
      <c r="IR338" s="175"/>
      <c r="IS338" s="175"/>
      <c r="IT338" s="175"/>
      <c r="IU338" s="175"/>
      <c r="IV338" s="175"/>
      <c r="IW338" s="175"/>
      <c r="IX338" s="175"/>
      <c r="IY338" s="175"/>
      <c r="IZ338" s="175"/>
      <c r="JA338" s="175"/>
      <c r="JB338" s="175"/>
      <c r="JC338" s="175"/>
      <c r="JD338" s="175"/>
      <c r="JE338" s="175"/>
      <c r="JF338" s="175"/>
      <c r="JG338" s="175"/>
      <c r="JH338" s="175"/>
      <c r="JI338" s="175"/>
      <c r="JJ338" s="175"/>
      <c r="JK338" s="175"/>
      <c r="JL338" s="175"/>
      <c r="JM338" s="175"/>
      <c r="JN338" s="175"/>
      <c r="JO338" s="175"/>
      <c r="JP338" s="175"/>
      <c r="JQ338" s="175"/>
      <c r="JR338" s="175"/>
      <c r="JS338" s="175"/>
      <c r="JT338" s="175"/>
      <c r="JU338" s="175"/>
      <c r="JV338" s="175"/>
      <c r="JW338" s="175"/>
      <c r="JX338" s="175"/>
      <c r="JY338" s="175"/>
      <c r="JZ338" s="175"/>
      <c r="KA338" s="175"/>
      <c r="KB338" s="175"/>
      <c r="KC338" s="175"/>
      <c r="KD338" s="175"/>
      <c r="KE338" s="175"/>
      <c r="KF338" s="175"/>
      <c r="KG338" s="175"/>
      <c r="KH338" s="175"/>
      <c r="KI338" s="175"/>
      <c r="KJ338" s="175"/>
      <c r="KK338" s="175"/>
      <c r="KL338" s="175"/>
      <c r="KM338" s="175"/>
      <c r="KN338" s="175"/>
      <c r="KO338" s="175"/>
      <c r="KP338" s="175"/>
      <c r="KQ338" s="175"/>
      <c r="KR338" s="175"/>
      <c r="KS338" s="175"/>
      <c r="KT338" s="175"/>
      <c r="KU338" s="175"/>
    </row>
    <row r="339" spans="1:307" x14ac:dyDescent="0.2">
      <c r="A339" s="172"/>
      <c r="B339" s="172"/>
      <c r="C339" s="172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  <c r="Z339" s="172"/>
      <c r="AA339" s="172"/>
      <c r="AB339" s="172"/>
      <c r="AC339" s="172"/>
      <c r="AD339" s="172"/>
      <c r="AE339" s="172"/>
      <c r="AF339" s="172"/>
      <c r="AG339" s="172"/>
      <c r="AH339" s="172"/>
      <c r="AI339" s="172"/>
      <c r="AJ339" s="172"/>
      <c r="AK339" s="172"/>
      <c r="AL339" s="172"/>
      <c r="AM339" s="172"/>
      <c r="AN339" s="172"/>
      <c r="AO339" s="172"/>
      <c r="AP339" s="172"/>
      <c r="AQ339" s="172"/>
      <c r="AR339" s="172"/>
      <c r="AS339" s="172"/>
      <c r="AT339" s="172"/>
      <c r="AU339" s="172"/>
      <c r="AV339" s="172"/>
      <c r="AW339" s="172"/>
      <c r="AX339" s="172"/>
      <c r="AY339" s="172"/>
      <c r="AZ339" s="172"/>
      <c r="BA339" s="172"/>
      <c r="BB339" s="172"/>
      <c r="BC339" s="172"/>
      <c r="BD339" s="172"/>
      <c r="BE339" s="172"/>
      <c r="BF339" s="172"/>
      <c r="BG339" s="172"/>
      <c r="BH339" s="172"/>
      <c r="BI339" s="172"/>
      <c r="BJ339" s="172"/>
      <c r="BK339" s="172"/>
      <c r="BL339" s="172"/>
      <c r="BM339" s="172"/>
      <c r="BN339" s="172"/>
      <c r="BO339" s="172"/>
      <c r="BP339" s="172"/>
      <c r="BQ339" s="172"/>
      <c r="BR339" s="172"/>
      <c r="BS339" s="172"/>
      <c r="BT339" s="172"/>
      <c r="BU339" s="172"/>
      <c r="BV339" s="172"/>
      <c r="BW339" s="172"/>
      <c r="BX339" s="175"/>
      <c r="BY339" s="175"/>
      <c r="BZ339" s="175"/>
      <c r="CA339" s="175"/>
      <c r="CB339" s="175"/>
      <c r="CC339" s="175"/>
      <c r="CD339" s="175"/>
      <c r="CE339" s="175"/>
      <c r="CF339" s="175"/>
      <c r="CG339" s="175"/>
      <c r="CH339" s="175"/>
      <c r="CI339" s="175"/>
      <c r="CJ339" s="175"/>
      <c r="CK339" s="175"/>
      <c r="CL339" s="175"/>
      <c r="CM339" s="175"/>
      <c r="CN339" s="175"/>
      <c r="CO339" s="175"/>
      <c r="CP339" s="175"/>
      <c r="CQ339" s="175"/>
      <c r="CR339" s="175"/>
      <c r="CS339" s="175"/>
      <c r="CT339" s="175"/>
      <c r="CU339" s="175"/>
      <c r="CV339" s="175"/>
      <c r="CW339" s="175"/>
      <c r="CX339" s="175"/>
      <c r="CY339" s="175"/>
      <c r="CZ339" s="175"/>
      <c r="DA339" s="175"/>
      <c r="DB339" s="175"/>
      <c r="DC339" s="175"/>
      <c r="DD339" s="175"/>
      <c r="DE339" s="175"/>
      <c r="DF339" s="175"/>
      <c r="DG339" s="175"/>
      <c r="DH339" s="175"/>
      <c r="DI339" s="175"/>
      <c r="DJ339" s="175"/>
      <c r="DK339" s="175"/>
      <c r="DL339" s="175"/>
      <c r="DM339" s="175"/>
      <c r="DN339" s="175"/>
      <c r="DO339" s="175"/>
      <c r="DP339" s="175"/>
      <c r="DQ339" s="175"/>
      <c r="DR339" s="175"/>
      <c r="DS339" s="175"/>
      <c r="DT339" s="175"/>
      <c r="DU339" s="175"/>
      <c r="DV339" s="175"/>
      <c r="DW339" s="175"/>
      <c r="DX339" s="175"/>
      <c r="DY339" s="175"/>
      <c r="DZ339" s="175"/>
      <c r="EA339" s="175"/>
      <c r="EB339" s="175"/>
      <c r="EC339" s="175"/>
      <c r="ED339" s="175"/>
      <c r="EE339" s="175"/>
      <c r="EF339" s="175"/>
      <c r="EG339" s="175"/>
      <c r="EH339" s="175"/>
      <c r="EI339" s="175"/>
      <c r="EJ339" s="175"/>
      <c r="EK339" s="175"/>
      <c r="EL339" s="175"/>
      <c r="EM339" s="175"/>
      <c r="EN339" s="175"/>
      <c r="EO339" s="175"/>
      <c r="EP339" s="175"/>
      <c r="EQ339" s="175"/>
      <c r="ER339" s="175"/>
      <c r="ES339" s="175"/>
      <c r="ET339" s="175"/>
      <c r="EU339" s="175"/>
      <c r="EV339" s="175"/>
      <c r="EW339" s="175"/>
      <c r="EX339" s="175"/>
      <c r="EY339" s="175"/>
      <c r="EZ339" s="175"/>
      <c r="FA339" s="175"/>
      <c r="FB339" s="175"/>
      <c r="FC339" s="175"/>
      <c r="FD339" s="175"/>
      <c r="FE339" s="175"/>
      <c r="FF339" s="175"/>
      <c r="FG339" s="175"/>
      <c r="FH339" s="175"/>
      <c r="FI339" s="175"/>
      <c r="FJ339" s="175"/>
      <c r="FK339" s="175"/>
      <c r="FL339" s="175"/>
      <c r="FM339" s="175"/>
      <c r="FN339" s="175"/>
      <c r="FO339" s="175"/>
      <c r="FP339" s="175"/>
      <c r="FQ339" s="175"/>
      <c r="FR339" s="175"/>
      <c r="FS339" s="175"/>
      <c r="FT339" s="175"/>
      <c r="FU339" s="175"/>
      <c r="FV339" s="175"/>
      <c r="FW339" s="175"/>
      <c r="FX339" s="175"/>
      <c r="FY339" s="175"/>
      <c r="FZ339" s="175"/>
      <c r="GA339" s="175"/>
      <c r="GB339" s="175"/>
      <c r="GC339" s="175"/>
      <c r="GD339" s="175"/>
      <c r="GE339" s="175"/>
      <c r="GF339" s="175"/>
      <c r="GG339" s="175"/>
      <c r="GH339" s="175"/>
      <c r="GI339" s="175"/>
      <c r="GJ339" s="175"/>
      <c r="GK339" s="175"/>
      <c r="GL339" s="175"/>
      <c r="GM339" s="175"/>
      <c r="GN339" s="175"/>
      <c r="GO339" s="175"/>
      <c r="GP339" s="175"/>
      <c r="GQ339" s="175"/>
      <c r="GR339" s="175"/>
      <c r="GS339" s="175"/>
      <c r="GT339" s="175"/>
      <c r="GU339" s="175"/>
      <c r="GV339" s="175"/>
      <c r="GW339" s="175"/>
      <c r="GX339" s="175"/>
      <c r="GY339" s="175"/>
      <c r="GZ339" s="175"/>
      <c r="HA339" s="175"/>
      <c r="HB339" s="175"/>
      <c r="HC339" s="175"/>
      <c r="HD339" s="175"/>
      <c r="HE339" s="175"/>
      <c r="HF339" s="175"/>
      <c r="HG339" s="175"/>
      <c r="HH339" s="175"/>
      <c r="HI339" s="175"/>
      <c r="HJ339" s="175"/>
      <c r="HK339" s="175"/>
      <c r="HL339" s="175"/>
      <c r="HM339" s="175"/>
      <c r="HN339" s="175"/>
      <c r="HO339" s="175"/>
      <c r="HP339" s="175"/>
      <c r="HQ339" s="175"/>
      <c r="HR339" s="175"/>
      <c r="HS339" s="175"/>
      <c r="HT339" s="175"/>
      <c r="HU339" s="175"/>
      <c r="HV339" s="175"/>
      <c r="HW339" s="175"/>
      <c r="HX339" s="175"/>
      <c r="HY339" s="175"/>
      <c r="HZ339" s="175"/>
      <c r="IA339" s="175"/>
      <c r="IB339" s="175"/>
      <c r="IC339" s="175"/>
      <c r="ID339" s="175"/>
      <c r="IE339" s="175"/>
      <c r="IF339" s="175"/>
      <c r="IG339" s="175"/>
      <c r="IH339" s="175"/>
      <c r="II339" s="175"/>
      <c r="IJ339" s="175"/>
      <c r="IK339" s="175"/>
      <c r="IL339" s="175"/>
      <c r="IM339" s="175"/>
      <c r="IN339" s="175"/>
      <c r="IO339" s="175"/>
      <c r="IP339" s="175"/>
      <c r="IQ339" s="175"/>
      <c r="IR339" s="175"/>
      <c r="IS339" s="175"/>
      <c r="IT339" s="175"/>
      <c r="IU339" s="175"/>
      <c r="IV339" s="175"/>
      <c r="IW339" s="175"/>
      <c r="IX339" s="175"/>
      <c r="IY339" s="175"/>
      <c r="IZ339" s="175"/>
      <c r="JA339" s="175"/>
      <c r="JB339" s="175"/>
      <c r="JC339" s="175"/>
      <c r="JD339" s="175"/>
      <c r="JE339" s="175"/>
      <c r="JF339" s="175"/>
      <c r="JG339" s="175"/>
      <c r="JH339" s="175"/>
      <c r="JI339" s="175"/>
      <c r="JJ339" s="175"/>
      <c r="JK339" s="175"/>
      <c r="JL339" s="175"/>
      <c r="JM339" s="175"/>
      <c r="JN339" s="175"/>
      <c r="JO339" s="175"/>
      <c r="JP339" s="175"/>
      <c r="JQ339" s="175"/>
      <c r="JR339" s="175"/>
      <c r="JS339" s="175"/>
      <c r="JT339" s="175"/>
      <c r="JU339" s="175"/>
      <c r="JV339" s="175"/>
      <c r="JW339" s="175"/>
      <c r="JX339" s="175"/>
      <c r="JY339" s="175"/>
      <c r="JZ339" s="175"/>
      <c r="KA339" s="175"/>
      <c r="KB339" s="175"/>
      <c r="KC339" s="175"/>
      <c r="KD339" s="175"/>
      <c r="KE339" s="175"/>
      <c r="KF339" s="175"/>
      <c r="KG339" s="175"/>
      <c r="KH339" s="175"/>
      <c r="KI339" s="175"/>
      <c r="KJ339" s="175"/>
      <c r="KK339" s="175"/>
      <c r="KL339" s="175"/>
      <c r="KM339" s="175"/>
      <c r="KN339" s="175"/>
      <c r="KO339" s="175"/>
      <c r="KP339" s="175"/>
      <c r="KQ339" s="175"/>
      <c r="KR339" s="175"/>
      <c r="KS339" s="175"/>
      <c r="KT339" s="175"/>
      <c r="KU339" s="175"/>
    </row>
    <row r="340" spans="1:307" x14ac:dyDescent="0.2">
      <c r="A340" s="172"/>
      <c r="B340" s="172"/>
      <c r="C340" s="172"/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  <c r="AG340" s="172"/>
      <c r="AH340" s="172"/>
      <c r="AI340" s="172"/>
      <c r="AJ340" s="172"/>
      <c r="AK340" s="172"/>
      <c r="AL340" s="172"/>
      <c r="AM340" s="172"/>
      <c r="AN340" s="172"/>
      <c r="AO340" s="172"/>
      <c r="AP340" s="172"/>
      <c r="AQ340" s="172"/>
      <c r="AR340" s="172"/>
      <c r="AS340" s="172"/>
      <c r="AT340" s="172"/>
      <c r="AU340" s="172"/>
      <c r="AV340" s="172"/>
      <c r="AW340" s="172"/>
      <c r="AX340" s="172"/>
      <c r="AY340" s="172"/>
      <c r="AZ340" s="172"/>
      <c r="BA340" s="172"/>
      <c r="BB340" s="172"/>
      <c r="BC340" s="172"/>
      <c r="BD340" s="172"/>
      <c r="BE340" s="172"/>
      <c r="BF340" s="172"/>
      <c r="BG340" s="172"/>
      <c r="BH340" s="172"/>
      <c r="BI340" s="172"/>
      <c r="BJ340" s="172"/>
      <c r="BK340" s="172"/>
      <c r="BL340" s="172"/>
      <c r="BM340" s="172"/>
      <c r="BN340" s="172"/>
      <c r="BO340" s="172"/>
      <c r="BP340" s="172"/>
      <c r="BQ340" s="172"/>
      <c r="BR340" s="172"/>
      <c r="BS340" s="172"/>
      <c r="BT340" s="172"/>
      <c r="BU340" s="172"/>
      <c r="BV340" s="172"/>
      <c r="BW340" s="172"/>
      <c r="BX340" s="175"/>
      <c r="BY340" s="175"/>
      <c r="BZ340" s="175"/>
      <c r="CA340" s="175"/>
      <c r="CB340" s="175"/>
      <c r="CC340" s="175"/>
      <c r="CD340" s="175"/>
      <c r="CE340" s="175"/>
      <c r="CF340" s="175"/>
      <c r="CG340" s="175"/>
      <c r="CH340" s="175"/>
      <c r="CI340" s="175"/>
      <c r="CJ340" s="175"/>
      <c r="CK340" s="175"/>
      <c r="CL340" s="175"/>
      <c r="CM340" s="175"/>
      <c r="CN340" s="175"/>
      <c r="CO340" s="175"/>
      <c r="CP340" s="175"/>
      <c r="CQ340" s="175"/>
      <c r="CR340" s="175"/>
      <c r="CS340" s="175"/>
      <c r="CT340" s="175"/>
      <c r="CU340" s="175"/>
      <c r="CV340" s="175"/>
      <c r="CW340" s="175"/>
      <c r="CX340" s="175"/>
      <c r="CY340" s="175"/>
      <c r="CZ340" s="175"/>
      <c r="DA340" s="175"/>
      <c r="DB340" s="175"/>
      <c r="DC340" s="175"/>
      <c r="DD340" s="175"/>
      <c r="DE340" s="175"/>
      <c r="DF340" s="175"/>
      <c r="DG340" s="175"/>
      <c r="DH340" s="175"/>
      <c r="DI340" s="175"/>
      <c r="DJ340" s="175"/>
      <c r="DK340" s="175"/>
      <c r="DL340" s="175"/>
      <c r="DM340" s="175"/>
      <c r="DN340" s="175"/>
      <c r="DO340" s="175"/>
      <c r="DP340" s="175"/>
      <c r="DQ340" s="175"/>
      <c r="DR340" s="175"/>
      <c r="DS340" s="175"/>
      <c r="DT340" s="175"/>
      <c r="DU340" s="175"/>
      <c r="DV340" s="175"/>
      <c r="DW340" s="175"/>
      <c r="DX340" s="175"/>
      <c r="DY340" s="175"/>
      <c r="DZ340" s="175"/>
      <c r="EA340" s="175"/>
      <c r="EB340" s="175"/>
      <c r="EC340" s="175"/>
      <c r="ED340" s="175"/>
      <c r="EE340" s="175"/>
      <c r="EF340" s="175"/>
      <c r="EG340" s="175"/>
      <c r="EH340" s="175"/>
      <c r="EI340" s="175"/>
      <c r="EJ340" s="175"/>
      <c r="EK340" s="175"/>
      <c r="EL340" s="175"/>
      <c r="EM340" s="175"/>
      <c r="EN340" s="175"/>
      <c r="EO340" s="175"/>
      <c r="EP340" s="175"/>
      <c r="EQ340" s="175"/>
      <c r="ER340" s="175"/>
      <c r="ES340" s="175"/>
      <c r="ET340" s="175"/>
      <c r="EU340" s="175"/>
      <c r="EV340" s="175"/>
      <c r="EW340" s="175"/>
      <c r="EX340" s="175"/>
      <c r="EY340" s="175"/>
      <c r="EZ340" s="175"/>
      <c r="FA340" s="175"/>
      <c r="FB340" s="175"/>
      <c r="FC340" s="175"/>
      <c r="FD340" s="175"/>
      <c r="FE340" s="175"/>
      <c r="FF340" s="175"/>
      <c r="FG340" s="175"/>
      <c r="FH340" s="175"/>
      <c r="FI340" s="175"/>
      <c r="FJ340" s="175"/>
      <c r="FK340" s="175"/>
      <c r="FL340" s="175"/>
      <c r="FM340" s="175"/>
      <c r="FN340" s="175"/>
      <c r="FO340" s="175"/>
      <c r="FP340" s="175"/>
      <c r="FQ340" s="175"/>
      <c r="FR340" s="175"/>
      <c r="FS340" s="175"/>
      <c r="FT340" s="175"/>
      <c r="FU340" s="175"/>
      <c r="FV340" s="175"/>
      <c r="FW340" s="175"/>
      <c r="FX340" s="175"/>
      <c r="FY340" s="175"/>
      <c r="FZ340" s="175"/>
      <c r="GA340" s="175"/>
      <c r="GB340" s="175"/>
      <c r="GC340" s="175"/>
      <c r="GD340" s="175"/>
      <c r="GE340" s="175"/>
      <c r="GF340" s="175"/>
      <c r="GG340" s="175"/>
      <c r="GH340" s="175"/>
      <c r="GI340" s="175"/>
      <c r="GJ340" s="175"/>
      <c r="GK340" s="175"/>
      <c r="GL340" s="175"/>
      <c r="GM340" s="175"/>
      <c r="GN340" s="175"/>
      <c r="GO340" s="175"/>
      <c r="GP340" s="175"/>
      <c r="GQ340" s="175"/>
      <c r="GR340" s="175"/>
      <c r="GS340" s="175"/>
      <c r="GT340" s="175"/>
      <c r="GU340" s="175"/>
      <c r="GV340" s="175"/>
      <c r="GW340" s="175"/>
      <c r="GX340" s="175"/>
      <c r="GY340" s="175"/>
      <c r="GZ340" s="175"/>
      <c r="HA340" s="175"/>
      <c r="HB340" s="175"/>
      <c r="HC340" s="175"/>
      <c r="HD340" s="175"/>
      <c r="HE340" s="175"/>
      <c r="HF340" s="175"/>
      <c r="HG340" s="175"/>
      <c r="HH340" s="175"/>
      <c r="HI340" s="175"/>
      <c r="HJ340" s="175"/>
      <c r="HK340" s="175"/>
      <c r="HL340" s="175"/>
      <c r="HM340" s="175"/>
      <c r="HN340" s="175"/>
      <c r="HO340" s="175"/>
      <c r="HP340" s="175"/>
      <c r="HQ340" s="175"/>
      <c r="HR340" s="175"/>
      <c r="HS340" s="175"/>
      <c r="HT340" s="175"/>
      <c r="HU340" s="175"/>
      <c r="HV340" s="175"/>
      <c r="HW340" s="175"/>
      <c r="HX340" s="175"/>
      <c r="HY340" s="175"/>
      <c r="HZ340" s="175"/>
      <c r="IA340" s="175"/>
      <c r="IB340" s="175"/>
      <c r="IC340" s="175"/>
      <c r="ID340" s="175"/>
      <c r="IE340" s="175"/>
      <c r="IF340" s="175"/>
      <c r="IG340" s="175"/>
      <c r="IH340" s="175"/>
      <c r="II340" s="175"/>
      <c r="IJ340" s="175"/>
      <c r="IK340" s="175"/>
      <c r="IL340" s="175"/>
      <c r="IM340" s="175"/>
      <c r="IN340" s="175"/>
      <c r="IO340" s="175"/>
      <c r="IP340" s="175"/>
      <c r="IQ340" s="175"/>
      <c r="IR340" s="175"/>
      <c r="IS340" s="175"/>
      <c r="IT340" s="175"/>
      <c r="IU340" s="175"/>
      <c r="IV340" s="175"/>
      <c r="IW340" s="175"/>
      <c r="IX340" s="175"/>
      <c r="IY340" s="175"/>
      <c r="IZ340" s="175"/>
      <c r="JA340" s="175"/>
      <c r="JB340" s="175"/>
      <c r="JC340" s="175"/>
      <c r="JD340" s="175"/>
      <c r="JE340" s="175"/>
      <c r="JF340" s="175"/>
      <c r="JG340" s="175"/>
      <c r="JH340" s="175"/>
      <c r="JI340" s="175"/>
      <c r="JJ340" s="175"/>
      <c r="JK340" s="175"/>
      <c r="JL340" s="175"/>
      <c r="JM340" s="175"/>
      <c r="JN340" s="175"/>
      <c r="JO340" s="175"/>
      <c r="JP340" s="175"/>
      <c r="JQ340" s="175"/>
      <c r="JR340" s="175"/>
      <c r="JS340" s="175"/>
      <c r="JT340" s="175"/>
      <c r="JU340" s="175"/>
      <c r="JV340" s="175"/>
      <c r="JW340" s="175"/>
      <c r="JX340" s="175"/>
      <c r="JY340" s="175"/>
      <c r="JZ340" s="175"/>
      <c r="KA340" s="175"/>
      <c r="KB340" s="175"/>
      <c r="KC340" s="175"/>
      <c r="KD340" s="175"/>
      <c r="KE340" s="175"/>
      <c r="KF340" s="175"/>
      <c r="KG340" s="175"/>
      <c r="KH340" s="175"/>
      <c r="KI340" s="175"/>
      <c r="KJ340" s="175"/>
      <c r="KK340" s="175"/>
      <c r="KL340" s="175"/>
      <c r="KM340" s="175"/>
      <c r="KN340" s="175"/>
      <c r="KO340" s="175"/>
      <c r="KP340" s="175"/>
      <c r="KQ340" s="175"/>
      <c r="KR340" s="175"/>
      <c r="KS340" s="175"/>
      <c r="KT340" s="175"/>
      <c r="KU340" s="175"/>
    </row>
    <row r="341" spans="1:307" x14ac:dyDescent="0.2">
      <c r="A341" s="172"/>
      <c r="B341" s="172"/>
      <c r="C341" s="172"/>
      <c r="D341" s="172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  <c r="AW341" s="172"/>
      <c r="AX341" s="172"/>
      <c r="AY341" s="172"/>
      <c r="AZ341" s="172"/>
      <c r="BA341" s="172"/>
      <c r="BB341" s="172"/>
      <c r="BC341" s="172"/>
      <c r="BD341" s="172"/>
      <c r="BE341" s="172"/>
      <c r="BF341" s="172"/>
      <c r="BG341" s="172"/>
      <c r="BH341" s="172"/>
      <c r="BI341" s="172"/>
      <c r="BJ341" s="172"/>
      <c r="BK341" s="172"/>
      <c r="BL341" s="172"/>
      <c r="BM341" s="172"/>
      <c r="BN341" s="172"/>
      <c r="BO341" s="172"/>
      <c r="BP341" s="172"/>
      <c r="BQ341" s="172"/>
      <c r="BR341" s="172"/>
      <c r="BS341" s="172"/>
      <c r="BT341" s="172"/>
      <c r="BU341" s="172"/>
      <c r="BV341" s="172"/>
      <c r="BW341" s="172"/>
      <c r="BX341" s="175"/>
      <c r="BY341" s="175"/>
      <c r="BZ341" s="175"/>
      <c r="CA341" s="175"/>
      <c r="CB341" s="175"/>
      <c r="CC341" s="175"/>
      <c r="CD341" s="175"/>
      <c r="CE341" s="175"/>
      <c r="CF341" s="175"/>
      <c r="CG341" s="175"/>
      <c r="CH341" s="175"/>
      <c r="CI341" s="175"/>
      <c r="CJ341" s="175"/>
      <c r="CK341" s="175"/>
      <c r="CL341" s="175"/>
      <c r="CM341" s="175"/>
      <c r="CN341" s="175"/>
      <c r="CO341" s="175"/>
      <c r="CP341" s="175"/>
      <c r="CQ341" s="175"/>
      <c r="CR341" s="175"/>
      <c r="CS341" s="175"/>
      <c r="CT341" s="175"/>
      <c r="CU341" s="175"/>
      <c r="CV341" s="175"/>
      <c r="CW341" s="175"/>
      <c r="CX341" s="175"/>
      <c r="CY341" s="175"/>
      <c r="CZ341" s="175"/>
      <c r="DA341" s="175"/>
      <c r="DB341" s="175"/>
      <c r="DC341" s="175"/>
      <c r="DD341" s="175"/>
      <c r="DE341" s="175"/>
      <c r="DF341" s="175"/>
      <c r="DG341" s="175"/>
      <c r="DH341" s="175"/>
      <c r="DI341" s="175"/>
      <c r="DJ341" s="175"/>
      <c r="DK341" s="175"/>
      <c r="DL341" s="175"/>
      <c r="DM341" s="175"/>
      <c r="DN341" s="175"/>
      <c r="DO341" s="175"/>
      <c r="DP341" s="175"/>
      <c r="DQ341" s="175"/>
      <c r="DR341" s="175"/>
      <c r="DS341" s="175"/>
      <c r="DT341" s="175"/>
      <c r="DU341" s="175"/>
      <c r="DV341" s="175"/>
      <c r="DW341" s="175"/>
      <c r="DX341" s="175"/>
      <c r="DY341" s="175"/>
      <c r="DZ341" s="175"/>
      <c r="EA341" s="175"/>
      <c r="EB341" s="175"/>
      <c r="EC341" s="175"/>
      <c r="ED341" s="175"/>
      <c r="EE341" s="175"/>
      <c r="EF341" s="175"/>
      <c r="EG341" s="175"/>
      <c r="EH341" s="175"/>
      <c r="EI341" s="175"/>
      <c r="EJ341" s="175"/>
      <c r="EK341" s="175"/>
      <c r="EL341" s="175"/>
      <c r="EM341" s="175"/>
      <c r="EN341" s="175"/>
      <c r="EO341" s="175"/>
      <c r="EP341" s="175"/>
      <c r="EQ341" s="175"/>
      <c r="ER341" s="175"/>
      <c r="ES341" s="175"/>
      <c r="ET341" s="175"/>
      <c r="EU341" s="175"/>
      <c r="EV341" s="175"/>
      <c r="EW341" s="175"/>
      <c r="EX341" s="175"/>
      <c r="EY341" s="175"/>
      <c r="EZ341" s="175"/>
      <c r="FA341" s="175"/>
      <c r="FB341" s="175"/>
      <c r="FC341" s="175"/>
      <c r="FD341" s="175"/>
      <c r="FE341" s="175"/>
      <c r="FF341" s="175"/>
      <c r="FG341" s="175"/>
      <c r="FH341" s="175"/>
      <c r="FI341" s="175"/>
      <c r="FJ341" s="175"/>
      <c r="FK341" s="175"/>
      <c r="FL341" s="175"/>
      <c r="FM341" s="175"/>
      <c r="FN341" s="175"/>
      <c r="FO341" s="175"/>
      <c r="FP341" s="175"/>
      <c r="FQ341" s="175"/>
      <c r="FR341" s="175"/>
      <c r="FS341" s="175"/>
      <c r="FT341" s="175"/>
      <c r="FU341" s="175"/>
      <c r="FV341" s="175"/>
      <c r="FW341" s="175"/>
      <c r="FX341" s="175"/>
      <c r="FY341" s="175"/>
      <c r="FZ341" s="175"/>
      <c r="GA341" s="175"/>
      <c r="GB341" s="175"/>
      <c r="GC341" s="175"/>
      <c r="GD341" s="175"/>
      <c r="GE341" s="175"/>
      <c r="GF341" s="175"/>
      <c r="GG341" s="175"/>
      <c r="GH341" s="175"/>
      <c r="GI341" s="175"/>
      <c r="GJ341" s="175"/>
      <c r="GK341" s="175"/>
      <c r="GL341" s="175"/>
      <c r="GM341" s="175"/>
      <c r="GN341" s="175"/>
      <c r="GO341" s="175"/>
      <c r="GP341" s="175"/>
      <c r="GQ341" s="175"/>
      <c r="GR341" s="175"/>
      <c r="GS341" s="175"/>
      <c r="GT341" s="175"/>
      <c r="GU341" s="175"/>
      <c r="GV341" s="175"/>
      <c r="GW341" s="175"/>
      <c r="GX341" s="175"/>
      <c r="GY341" s="175"/>
      <c r="GZ341" s="175"/>
      <c r="HA341" s="175"/>
      <c r="HB341" s="175"/>
      <c r="HC341" s="175"/>
      <c r="HD341" s="175"/>
      <c r="HE341" s="175"/>
      <c r="HF341" s="175"/>
      <c r="HG341" s="175"/>
      <c r="HH341" s="175"/>
      <c r="HI341" s="175"/>
      <c r="HJ341" s="175"/>
      <c r="HK341" s="175"/>
      <c r="HL341" s="175"/>
      <c r="HM341" s="175"/>
      <c r="HN341" s="175"/>
      <c r="HO341" s="175"/>
      <c r="HP341" s="175"/>
      <c r="HQ341" s="175"/>
      <c r="HR341" s="175"/>
      <c r="HS341" s="175"/>
      <c r="HT341" s="175"/>
      <c r="HU341" s="175"/>
      <c r="HV341" s="175"/>
      <c r="HW341" s="175"/>
      <c r="HX341" s="175"/>
      <c r="HY341" s="175"/>
      <c r="HZ341" s="175"/>
      <c r="IA341" s="175"/>
      <c r="IB341" s="175"/>
      <c r="IC341" s="175"/>
      <c r="ID341" s="175"/>
      <c r="IE341" s="175"/>
      <c r="IF341" s="175"/>
      <c r="IG341" s="175"/>
      <c r="IH341" s="175"/>
      <c r="II341" s="175"/>
      <c r="IJ341" s="175"/>
      <c r="IK341" s="175"/>
      <c r="IL341" s="175"/>
      <c r="IM341" s="175"/>
      <c r="IN341" s="175"/>
      <c r="IO341" s="175"/>
      <c r="IP341" s="175"/>
      <c r="IQ341" s="175"/>
      <c r="IR341" s="175"/>
      <c r="IS341" s="175"/>
      <c r="IT341" s="175"/>
      <c r="IU341" s="175"/>
      <c r="IV341" s="175"/>
      <c r="IW341" s="175"/>
      <c r="IX341" s="175"/>
      <c r="IY341" s="175"/>
      <c r="IZ341" s="175"/>
      <c r="JA341" s="175"/>
      <c r="JB341" s="175"/>
      <c r="JC341" s="175"/>
      <c r="JD341" s="175"/>
      <c r="JE341" s="175"/>
      <c r="JF341" s="175"/>
      <c r="JG341" s="175"/>
      <c r="JH341" s="175"/>
      <c r="JI341" s="175"/>
      <c r="JJ341" s="175"/>
      <c r="JK341" s="175"/>
      <c r="JL341" s="175"/>
      <c r="JM341" s="175"/>
      <c r="JN341" s="175"/>
      <c r="JO341" s="175"/>
      <c r="JP341" s="175"/>
      <c r="JQ341" s="175"/>
      <c r="JR341" s="175"/>
      <c r="JS341" s="175"/>
      <c r="JT341" s="175"/>
      <c r="JU341" s="175"/>
      <c r="JV341" s="175"/>
      <c r="JW341" s="175"/>
      <c r="JX341" s="175"/>
      <c r="JY341" s="175"/>
      <c r="JZ341" s="175"/>
      <c r="KA341" s="175"/>
      <c r="KB341" s="175"/>
      <c r="KC341" s="175"/>
      <c r="KD341" s="175"/>
      <c r="KE341" s="175"/>
      <c r="KF341" s="175"/>
      <c r="KG341" s="175"/>
      <c r="KH341" s="175"/>
      <c r="KI341" s="175"/>
      <c r="KJ341" s="175"/>
      <c r="KK341" s="175"/>
      <c r="KL341" s="175"/>
      <c r="KM341" s="175"/>
      <c r="KN341" s="175"/>
      <c r="KO341" s="175"/>
      <c r="KP341" s="175"/>
      <c r="KQ341" s="175"/>
      <c r="KR341" s="175"/>
      <c r="KS341" s="175"/>
      <c r="KT341" s="175"/>
      <c r="KU341" s="175"/>
    </row>
    <row r="342" spans="1:307" x14ac:dyDescent="0.2">
      <c r="A342" s="172"/>
      <c r="B342" s="172"/>
      <c r="C342" s="172"/>
      <c r="D342" s="172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  <c r="AW342" s="172"/>
      <c r="AX342" s="172"/>
      <c r="AY342" s="172"/>
      <c r="AZ342" s="172"/>
      <c r="BA342" s="172"/>
      <c r="BB342" s="172"/>
      <c r="BC342" s="172"/>
      <c r="BD342" s="172"/>
      <c r="BE342" s="172"/>
      <c r="BF342" s="172"/>
      <c r="BG342" s="172"/>
      <c r="BH342" s="172"/>
      <c r="BI342" s="172"/>
      <c r="BJ342" s="172"/>
      <c r="BK342" s="172"/>
      <c r="BL342" s="172"/>
      <c r="BM342" s="172"/>
      <c r="BN342" s="172"/>
      <c r="BO342" s="172"/>
      <c r="BP342" s="172"/>
      <c r="BQ342" s="172"/>
      <c r="BR342" s="172"/>
      <c r="BS342" s="172"/>
      <c r="BT342" s="172"/>
      <c r="BU342" s="172"/>
      <c r="BV342" s="172"/>
      <c r="BW342" s="172"/>
      <c r="BX342" s="175"/>
      <c r="BY342" s="175"/>
      <c r="BZ342" s="175"/>
      <c r="CA342" s="175"/>
      <c r="CB342" s="175"/>
      <c r="CC342" s="175"/>
      <c r="CD342" s="175"/>
      <c r="CE342" s="175"/>
      <c r="CF342" s="175"/>
      <c r="CG342" s="175"/>
      <c r="CH342" s="175"/>
      <c r="CI342" s="175"/>
      <c r="CJ342" s="175"/>
      <c r="CK342" s="175"/>
      <c r="CL342" s="175"/>
      <c r="CM342" s="175"/>
      <c r="CN342" s="175"/>
      <c r="CO342" s="175"/>
      <c r="CP342" s="175"/>
      <c r="CQ342" s="175"/>
      <c r="CR342" s="175"/>
      <c r="CS342" s="175"/>
      <c r="CT342" s="175"/>
      <c r="CU342" s="175"/>
      <c r="CV342" s="175"/>
      <c r="CW342" s="175"/>
      <c r="CX342" s="175"/>
      <c r="CY342" s="175"/>
      <c r="CZ342" s="175"/>
      <c r="DA342" s="175"/>
      <c r="DB342" s="175"/>
      <c r="DC342" s="175"/>
      <c r="DD342" s="175"/>
      <c r="DE342" s="175"/>
      <c r="DF342" s="175"/>
      <c r="DG342" s="175"/>
      <c r="DH342" s="175"/>
      <c r="DI342" s="175"/>
      <c r="DJ342" s="175"/>
      <c r="DK342" s="175"/>
      <c r="DL342" s="175"/>
      <c r="DM342" s="175"/>
      <c r="DN342" s="175"/>
      <c r="DO342" s="175"/>
      <c r="DP342" s="175"/>
      <c r="DQ342" s="175"/>
      <c r="DR342" s="175"/>
      <c r="DS342" s="175"/>
      <c r="DT342" s="175"/>
      <c r="DU342" s="175"/>
      <c r="DV342" s="175"/>
      <c r="DW342" s="175"/>
      <c r="DX342" s="175"/>
      <c r="DY342" s="175"/>
      <c r="DZ342" s="175"/>
      <c r="EA342" s="175"/>
      <c r="EB342" s="175"/>
      <c r="EC342" s="175"/>
      <c r="ED342" s="175"/>
      <c r="EE342" s="175"/>
      <c r="EF342" s="175"/>
      <c r="EG342" s="175"/>
      <c r="EH342" s="175"/>
      <c r="EI342" s="175"/>
      <c r="EJ342" s="175"/>
      <c r="EK342" s="175"/>
      <c r="EL342" s="175"/>
      <c r="EM342" s="175"/>
      <c r="EN342" s="175"/>
      <c r="EO342" s="175"/>
      <c r="EP342" s="175"/>
      <c r="EQ342" s="175"/>
      <c r="ER342" s="175"/>
      <c r="ES342" s="175"/>
      <c r="ET342" s="175"/>
      <c r="EU342" s="175"/>
      <c r="EV342" s="175"/>
      <c r="EW342" s="175"/>
      <c r="EX342" s="175"/>
      <c r="EY342" s="175"/>
      <c r="EZ342" s="175"/>
      <c r="FA342" s="175"/>
      <c r="FB342" s="175"/>
      <c r="FC342" s="175"/>
      <c r="FD342" s="175"/>
      <c r="FE342" s="175"/>
      <c r="FF342" s="175"/>
      <c r="FG342" s="175"/>
      <c r="FH342" s="175"/>
      <c r="FI342" s="175"/>
      <c r="FJ342" s="175"/>
      <c r="FK342" s="175"/>
      <c r="FL342" s="175"/>
      <c r="FM342" s="175"/>
      <c r="FN342" s="175"/>
      <c r="FO342" s="175"/>
      <c r="FP342" s="175"/>
      <c r="FQ342" s="175"/>
      <c r="FR342" s="175"/>
      <c r="FS342" s="175"/>
      <c r="FT342" s="175"/>
      <c r="FU342" s="175"/>
      <c r="FV342" s="175"/>
      <c r="FW342" s="175"/>
      <c r="FX342" s="175"/>
      <c r="FY342" s="175"/>
      <c r="FZ342" s="175"/>
      <c r="GA342" s="175"/>
      <c r="GB342" s="175"/>
      <c r="GC342" s="175"/>
      <c r="GD342" s="175"/>
      <c r="GE342" s="175"/>
      <c r="GF342" s="175"/>
      <c r="GG342" s="175"/>
      <c r="GH342" s="175"/>
      <c r="GI342" s="175"/>
      <c r="GJ342" s="175"/>
      <c r="GK342" s="175"/>
      <c r="GL342" s="175"/>
      <c r="GM342" s="175"/>
      <c r="GN342" s="175"/>
      <c r="GO342" s="175"/>
      <c r="GP342" s="175"/>
      <c r="GQ342" s="175"/>
      <c r="GR342" s="175"/>
      <c r="GS342" s="175"/>
      <c r="GT342" s="175"/>
      <c r="GU342" s="175"/>
      <c r="GV342" s="175"/>
      <c r="GW342" s="175"/>
      <c r="GX342" s="175"/>
      <c r="GY342" s="175"/>
      <c r="GZ342" s="175"/>
      <c r="HA342" s="175"/>
      <c r="HB342" s="175"/>
      <c r="HC342" s="175"/>
      <c r="HD342" s="175"/>
      <c r="HE342" s="175"/>
      <c r="HF342" s="175"/>
      <c r="HG342" s="175"/>
      <c r="HH342" s="175"/>
      <c r="HI342" s="175"/>
      <c r="HJ342" s="175"/>
      <c r="HK342" s="175"/>
      <c r="HL342" s="175"/>
      <c r="HM342" s="175"/>
      <c r="HN342" s="175"/>
      <c r="HO342" s="175"/>
      <c r="HP342" s="175"/>
      <c r="HQ342" s="175"/>
      <c r="HR342" s="175"/>
      <c r="HS342" s="175"/>
      <c r="HT342" s="175"/>
      <c r="HU342" s="175"/>
      <c r="HV342" s="175"/>
      <c r="HW342" s="175"/>
      <c r="HX342" s="175"/>
      <c r="HY342" s="175"/>
      <c r="HZ342" s="175"/>
      <c r="IA342" s="175"/>
      <c r="IB342" s="175"/>
      <c r="IC342" s="175"/>
      <c r="ID342" s="175"/>
      <c r="IE342" s="175"/>
      <c r="IF342" s="175"/>
      <c r="IG342" s="175"/>
      <c r="IH342" s="175"/>
      <c r="II342" s="175"/>
      <c r="IJ342" s="175"/>
      <c r="IK342" s="175"/>
      <c r="IL342" s="175"/>
      <c r="IM342" s="175"/>
      <c r="IN342" s="175"/>
      <c r="IO342" s="175"/>
      <c r="IP342" s="175"/>
      <c r="IQ342" s="175"/>
      <c r="IR342" s="175"/>
      <c r="IS342" s="175"/>
      <c r="IT342" s="175"/>
      <c r="IU342" s="175"/>
      <c r="IV342" s="175"/>
      <c r="IW342" s="175"/>
      <c r="IX342" s="175"/>
      <c r="IY342" s="175"/>
      <c r="IZ342" s="175"/>
      <c r="JA342" s="175"/>
      <c r="JB342" s="175"/>
      <c r="JC342" s="175"/>
      <c r="JD342" s="175"/>
      <c r="JE342" s="175"/>
      <c r="JF342" s="175"/>
      <c r="JG342" s="175"/>
      <c r="JH342" s="175"/>
      <c r="JI342" s="175"/>
      <c r="JJ342" s="175"/>
      <c r="JK342" s="175"/>
      <c r="JL342" s="175"/>
      <c r="JM342" s="175"/>
      <c r="JN342" s="175"/>
      <c r="JO342" s="175"/>
      <c r="JP342" s="175"/>
      <c r="JQ342" s="175"/>
      <c r="JR342" s="175"/>
      <c r="JS342" s="175"/>
      <c r="JT342" s="175"/>
      <c r="JU342" s="175"/>
      <c r="JV342" s="175"/>
      <c r="JW342" s="175"/>
      <c r="JX342" s="175"/>
      <c r="JY342" s="175"/>
      <c r="JZ342" s="175"/>
      <c r="KA342" s="175"/>
      <c r="KB342" s="175"/>
      <c r="KC342" s="175"/>
      <c r="KD342" s="175"/>
      <c r="KE342" s="175"/>
      <c r="KF342" s="175"/>
      <c r="KG342" s="175"/>
      <c r="KH342" s="175"/>
      <c r="KI342" s="175"/>
      <c r="KJ342" s="175"/>
      <c r="KK342" s="175"/>
      <c r="KL342" s="175"/>
      <c r="KM342" s="175"/>
      <c r="KN342" s="175"/>
      <c r="KO342" s="175"/>
      <c r="KP342" s="175"/>
      <c r="KQ342" s="175"/>
      <c r="KR342" s="175"/>
      <c r="KS342" s="175"/>
      <c r="KT342" s="175"/>
      <c r="KU342" s="175"/>
    </row>
    <row r="343" spans="1:307" x14ac:dyDescent="0.2">
      <c r="A343" s="172"/>
      <c r="B343" s="172"/>
      <c r="C343" s="172"/>
      <c r="D343" s="172"/>
      <c r="E343" s="172"/>
      <c r="F343" s="172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  <c r="AA343" s="172"/>
      <c r="AB343" s="172"/>
      <c r="AC343" s="172"/>
      <c r="AD343" s="172"/>
      <c r="AE343" s="172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72"/>
      <c r="BB343" s="172"/>
      <c r="BC343" s="172"/>
      <c r="BD343" s="172"/>
      <c r="BE343" s="172"/>
      <c r="BF343" s="172"/>
      <c r="BG343" s="172"/>
      <c r="BH343" s="172"/>
      <c r="BI343" s="172"/>
      <c r="BJ343" s="172"/>
      <c r="BK343" s="172"/>
      <c r="BL343" s="172"/>
      <c r="BM343" s="172"/>
      <c r="BN343" s="172"/>
      <c r="BO343" s="172"/>
      <c r="BP343" s="172"/>
      <c r="BQ343" s="172"/>
      <c r="BR343" s="172"/>
      <c r="BS343" s="172"/>
      <c r="BT343" s="172"/>
      <c r="BU343" s="172"/>
      <c r="BV343" s="172"/>
      <c r="BW343" s="172"/>
    </row>
    <row r="344" spans="1:307" x14ac:dyDescent="0.2">
      <c r="A344" s="172"/>
      <c r="B344" s="172"/>
      <c r="C344" s="172"/>
      <c r="D344" s="172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  <c r="AW344" s="172"/>
      <c r="AX344" s="172"/>
      <c r="AY344" s="172"/>
      <c r="AZ344" s="172"/>
      <c r="BA344" s="172"/>
      <c r="BB344" s="172"/>
      <c r="BC344" s="172"/>
      <c r="BD344" s="172"/>
      <c r="BE344" s="172"/>
      <c r="BF344" s="172"/>
      <c r="BG344" s="172"/>
      <c r="BH344" s="172"/>
      <c r="BI344" s="172"/>
      <c r="BJ344" s="172"/>
      <c r="BK344" s="172"/>
      <c r="BL344" s="172"/>
      <c r="BM344" s="172"/>
      <c r="BN344" s="172"/>
      <c r="BO344" s="172"/>
      <c r="BP344" s="172"/>
      <c r="BQ344" s="172"/>
      <c r="BR344" s="172"/>
      <c r="BS344" s="172"/>
      <c r="BT344" s="172"/>
      <c r="BU344" s="172"/>
      <c r="BV344" s="172"/>
      <c r="BW344" s="172"/>
    </row>
    <row r="345" spans="1:307" x14ac:dyDescent="0.2">
      <c r="A345" s="172"/>
      <c r="B345" s="172"/>
      <c r="C345" s="172"/>
      <c r="D345" s="172"/>
      <c r="E345" s="172"/>
      <c r="F345" s="172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  <c r="AA345" s="172"/>
      <c r="AB345" s="172"/>
      <c r="AC345" s="172"/>
      <c r="AD345" s="172"/>
      <c r="AE345" s="172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  <c r="AP345" s="172"/>
      <c r="AQ345" s="172"/>
      <c r="AR345" s="172"/>
      <c r="AS345" s="172"/>
      <c r="AT345" s="172"/>
      <c r="AU345" s="172"/>
      <c r="AV345" s="172"/>
      <c r="AW345" s="172"/>
      <c r="AX345" s="172"/>
      <c r="AY345" s="172"/>
      <c r="AZ345" s="172"/>
      <c r="BA345" s="172"/>
      <c r="BB345" s="172"/>
      <c r="BC345" s="172"/>
      <c r="BD345" s="172"/>
      <c r="BE345" s="172"/>
      <c r="BF345" s="172"/>
      <c r="BG345" s="172"/>
      <c r="BH345" s="172"/>
      <c r="BI345" s="172"/>
      <c r="BJ345" s="172"/>
      <c r="BK345" s="172"/>
      <c r="BL345" s="172"/>
      <c r="BM345" s="172"/>
      <c r="BN345" s="172"/>
      <c r="BO345" s="172"/>
      <c r="BP345" s="172"/>
      <c r="BQ345" s="172"/>
      <c r="BR345" s="172"/>
      <c r="BS345" s="172"/>
      <c r="BT345" s="172"/>
      <c r="BU345" s="172"/>
      <c r="BV345" s="172"/>
      <c r="BW345" s="172"/>
    </row>
    <row r="346" spans="1:307" x14ac:dyDescent="0.2">
      <c r="A346" s="172"/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72"/>
      <c r="AC346" s="172"/>
      <c r="AD346" s="172"/>
      <c r="AE346" s="172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  <c r="AP346" s="172"/>
      <c r="AQ346" s="172"/>
      <c r="AR346" s="172"/>
      <c r="AS346" s="172"/>
      <c r="AT346" s="172"/>
      <c r="AU346" s="172"/>
      <c r="AV346" s="172"/>
      <c r="AW346" s="172"/>
      <c r="AX346" s="172"/>
      <c r="AY346" s="172"/>
      <c r="AZ346" s="172"/>
      <c r="BA346" s="172"/>
      <c r="BB346" s="172"/>
      <c r="BC346" s="172"/>
      <c r="BD346" s="172"/>
      <c r="BE346" s="172"/>
      <c r="BF346" s="172"/>
      <c r="BG346" s="172"/>
      <c r="BH346" s="172"/>
      <c r="BI346" s="172"/>
      <c r="BJ346" s="172"/>
      <c r="BK346" s="172"/>
      <c r="BL346" s="172"/>
      <c r="BM346" s="172"/>
      <c r="BN346" s="172"/>
      <c r="BO346" s="172"/>
      <c r="BP346" s="172"/>
      <c r="BQ346" s="172"/>
      <c r="BR346" s="172"/>
      <c r="BS346" s="172"/>
      <c r="BT346" s="172"/>
      <c r="BU346" s="172"/>
      <c r="BV346" s="172"/>
      <c r="BW346" s="172"/>
    </row>
    <row r="347" spans="1:307" x14ac:dyDescent="0.2">
      <c r="A347" s="172"/>
      <c r="B347" s="172"/>
      <c r="C347" s="172"/>
      <c r="D347" s="172"/>
      <c r="E347" s="172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  <c r="BE347" s="172"/>
      <c r="BF347" s="172"/>
      <c r="BG347" s="172"/>
      <c r="BH347" s="172"/>
      <c r="BI347" s="172"/>
      <c r="BJ347" s="172"/>
      <c r="BK347" s="172"/>
      <c r="BL347" s="172"/>
      <c r="BM347" s="172"/>
      <c r="BN347" s="172"/>
      <c r="BO347" s="172"/>
      <c r="BP347" s="172"/>
      <c r="BQ347" s="172"/>
      <c r="BR347" s="172"/>
      <c r="BS347" s="172"/>
      <c r="BT347" s="172"/>
      <c r="BU347" s="172"/>
      <c r="BV347" s="172"/>
      <c r="BW347" s="172"/>
    </row>
    <row r="348" spans="1:307" x14ac:dyDescent="0.2">
      <c r="A348" s="172"/>
      <c r="B348" s="172"/>
      <c r="C348" s="172"/>
      <c r="D348" s="172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  <c r="BE348" s="172"/>
      <c r="BF348" s="172"/>
      <c r="BG348" s="172"/>
      <c r="BH348" s="172"/>
      <c r="BI348" s="172"/>
      <c r="BJ348" s="172"/>
      <c r="BK348" s="172"/>
      <c r="BL348" s="172"/>
      <c r="BM348" s="172"/>
      <c r="BN348" s="172"/>
      <c r="BO348" s="172"/>
      <c r="BP348" s="172"/>
      <c r="BQ348" s="172"/>
      <c r="BR348" s="172"/>
      <c r="BS348" s="172"/>
      <c r="BT348" s="172"/>
      <c r="BU348" s="172"/>
      <c r="BV348" s="172"/>
      <c r="BW348" s="172"/>
    </row>
    <row r="349" spans="1:307" x14ac:dyDescent="0.2">
      <c r="A349" s="172"/>
      <c r="B349" s="172"/>
      <c r="C349" s="172"/>
      <c r="D349" s="172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2"/>
      <c r="AT349" s="172"/>
      <c r="AU349" s="172"/>
      <c r="AV349" s="172"/>
      <c r="AW349" s="172"/>
      <c r="AX349" s="172"/>
      <c r="AY349" s="172"/>
      <c r="AZ349" s="172"/>
      <c r="BA349" s="172"/>
      <c r="BB349" s="172"/>
      <c r="BC349" s="172"/>
      <c r="BD349" s="172"/>
      <c r="BE349" s="172"/>
      <c r="BF349" s="172"/>
      <c r="BG349" s="172"/>
      <c r="BH349" s="172"/>
      <c r="BI349" s="172"/>
      <c r="BJ349" s="172"/>
      <c r="BK349" s="172"/>
      <c r="BL349" s="172"/>
      <c r="BM349" s="172"/>
      <c r="BN349" s="172"/>
      <c r="BO349" s="172"/>
      <c r="BP349" s="172"/>
      <c r="BQ349" s="172"/>
      <c r="BR349" s="172"/>
      <c r="BS349" s="172"/>
      <c r="BT349" s="172"/>
      <c r="BU349" s="172"/>
      <c r="BV349" s="172"/>
      <c r="BW349" s="172"/>
    </row>
    <row r="350" spans="1:307" x14ac:dyDescent="0.2">
      <c r="A350" s="172"/>
      <c r="B350" s="172"/>
      <c r="C350" s="172"/>
      <c r="D350" s="172"/>
      <c r="E350" s="172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2"/>
      <c r="AT350" s="172"/>
      <c r="AU350" s="172"/>
      <c r="AV350" s="172"/>
      <c r="AW350" s="172"/>
      <c r="AX350" s="172"/>
      <c r="AY350" s="172"/>
      <c r="AZ350" s="172"/>
      <c r="BA350" s="172"/>
      <c r="BB350" s="172"/>
      <c r="BC350" s="172"/>
      <c r="BD350" s="172"/>
      <c r="BE350" s="172"/>
      <c r="BF350" s="172"/>
      <c r="BG350" s="172"/>
      <c r="BH350" s="172"/>
      <c r="BI350" s="172"/>
      <c r="BJ350" s="172"/>
      <c r="BK350" s="172"/>
      <c r="BL350" s="172"/>
      <c r="BM350" s="172"/>
      <c r="BN350" s="172"/>
      <c r="BO350" s="172"/>
      <c r="BP350" s="172"/>
      <c r="BQ350" s="172"/>
      <c r="BR350" s="172"/>
      <c r="BS350" s="172"/>
      <c r="BT350" s="172"/>
      <c r="BU350" s="172"/>
      <c r="BV350" s="172"/>
      <c r="BW350" s="172"/>
    </row>
    <row r="351" spans="1:307" x14ac:dyDescent="0.2">
      <c r="A351" s="172"/>
      <c r="B351" s="172"/>
      <c r="C351" s="172"/>
      <c r="D351" s="172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72"/>
      <c r="AT351" s="172"/>
      <c r="AU351" s="172"/>
      <c r="AV351" s="172"/>
      <c r="AW351" s="172"/>
      <c r="AX351" s="172"/>
      <c r="AY351" s="172"/>
      <c r="AZ351" s="172"/>
      <c r="BA351" s="172"/>
      <c r="BB351" s="172"/>
      <c r="BC351" s="172"/>
      <c r="BD351" s="172"/>
      <c r="BE351" s="172"/>
      <c r="BF351" s="172"/>
      <c r="BG351" s="172"/>
      <c r="BH351" s="172"/>
      <c r="BI351" s="172"/>
      <c r="BJ351" s="172"/>
      <c r="BK351" s="172"/>
      <c r="BL351" s="172"/>
      <c r="BM351" s="172"/>
      <c r="BN351" s="172"/>
      <c r="BO351" s="172"/>
      <c r="BP351" s="172"/>
      <c r="BQ351" s="172"/>
      <c r="BR351" s="172"/>
      <c r="BS351" s="172"/>
      <c r="BT351" s="172"/>
      <c r="BU351" s="172"/>
      <c r="BV351" s="172"/>
      <c r="BW351" s="172"/>
    </row>
    <row r="352" spans="1:307" x14ac:dyDescent="0.2">
      <c r="A352" s="172"/>
      <c r="B352" s="172"/>
      <c r="C352" s="172"/>
      <c r="D352" s="172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72"/>
      <c r="AT352" s="172"/>
      <c r="AU352" s="172"/>
      <c r="AV352" s="172"/>
      <c r="AW352" s="172"/>
      <c r="AX352" s="172"/>
      <c r="AY352" s="172"/>
      <c r="AZ352" s="172"/>
      <c r="BA352" s="172"/>
      <c r="BB352" s="172"/>
      <c r="BC352" s="172"/>
      <c r="BD352" s="172"/>
      <c r="BE352" s="172"/>
      <c r="BF352" s="172"/>
      <c r="BG352" s="172"/>
      <c r="BH352" s="172"/>
      <c r="BI352" s="172"/>
      <c r="BJ352" s="172"/>
      <c r="BK352" s="172"/>
      <c r="BL352" s="172"/>
      <c r="BM352" s="172"/>
      <c r="BN352" s="172"/>
      <c r="BO352" s="172"/>
      <c r="BP352" s="172"/>
      <c r="BQ352" s="172"/>
      <c r="BR352" s="172"/>
      <c r="BS352" s="172"/>
      <c r="BT352" s="172"/>
      <c r="BU352" s="172"/>
      <c r="BV352" s="172"/>
      <c r="BW352" s="172"/>
    </row>
    <row r="353" spans="1:75" x14ac:dyDescent="0.2">
      <c r="A353" s="172"/>
      <c r="B353" s="172"/>
      <c r="C353" s="172"/>
      <c r="D353" s="172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  <c r="BE353" s="172"/>
      <c r="BF353" s="172"/>
      <c r="BG353" s="172"/>
      <c r="BH353" s="172"/>
      <c r="BI353" s="172"/>
      <c r="BJ353" s="172"/>
      <c r="BK353" s="172"/>
      <c r="BL353" s="172"/>
      <c r="BM353" s="172"/>
      <c r="BN353" s="172"/>
      <c r="BO353" s="172"/>
      <c r="BP353" s="172"/>
      <c r="BQ353" s="172"/>
      <c r="BR353" s="172"/>
      <c r="BS353" s="172"/>
      <c r="BT353" s="172"/>
      <c r="BU353" s="172"/>
      <c r="BV353" s="172"/>
      <c r="BW353" s="172"/>
    </row>
    <row r="354" spans="1:75" x14ac:dyDescent="0.2">
      <c r="A354" s="172"/>
      <c r="B354" s="172"/>
      <c r="C354" s="172"/>
      <c r="D354" s="172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  <c r="BE354" s="172"/>
      <c r="BF354" s="172"/>
      <c r="BG354" s="172"/>
      <c r="BH354" s="172"/>
      <c r="BI354" s="172"/>
      <c r="BJ354" s="172"/>
      <c r="BK354" s="172"/>
      <c r="BL354" s="172"/>
      <c r="BM354" s="172"/>
      <c r="BN354" s="172"/>
      <c r="BO354" s="172"/>
      <c r="BP354" s="172"/>
      <c r="BQ354" s="172"/>
      <c r="BR354" s="172"/>
      <c r="BS354" s="172"/>
      <c r="BT354" s="172"/>
      <c r="BU354" s="172"/>
      <c r="BV354" s="172"/>
      <c r="BW354" s="172"/>
    </row>
    <row r="355" spans="1:75" x14ac:dyDescent="0.2">
      <c r="A355" s="172"/>
      <c r="B355" s="172"/>
      <c r="C355" s="172"/>
      <c r="D355" s="172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  <c r="AA355" s="172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  <c r="AP355" s="172"/>
      <c r="AQ355" s="172"/>
      <c r="AR355" s="172"/>
      <c r="AS355" s="172"/>
      <c r="AT355" s="172"/>
      <c r="AU355" s="172"/>
      <c r="AV355" s="172"/>
      <c r="AW355" s="172"/>
      <c r="AX355" s="172"/>
      <c r="AY355" s="172"/>
      <c r="AZ355" s="172"/>
      <c r="BA355" s="172"/>
      <c r="BB355" s="172"/>
      <c r="BC355" s="172"/>
      <c r="BD355" s="172"/>
      <c r="BE355" s="172"/>
      <c r="BF355" s="172"/>
      <c r="BG355" s="172"/>
      <c r="BH355" s="172"/>
      <c r="BI355" s="172"/>
      <c r="BJ355" s="172"/>
      <c r="BK355" s="172"/>
      <c r="BL355" s="172"/>
      <c r="BM355" s="172"/>
      <c r="BN355" s="172"/>
      <c r="BO355" s="172"/>
      <c r="BP355" s="172"/>
      <c r="BQ355" s="172"/>
      <c r="BR355" s="172"/>
      <c r="BS355" s="172"/>
      <c r="BT355" s="172"/>
      <c r="BU355" s="172"/>
      <c r="BV355" s="172"/>
      <c r="BW355" s="172"/>
    </row>
    <row r="356" spans="1:75" x14ac:dyDescent="0.2">
      <c r="A356" s="172"/>
      <c r="B356" s="172"/>
      <c r="C356" s="172"/>
      <c r="D356" s="172"/>
      <c r="E356" s="172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72"/>
      <c r="AT356" s="172"/>
      <c r="AU356" s="172"/>
      <c r="AV356" s="172"/>
      <c r="AW356" s="172"/>
      <c r="AX356" s="172"/>
      <c r="AY356" s="172"/>
      <c r="AZ356" s="172"/>
      <c r="BA356" s="172"/>
      <c r="BB356" s="172"/>
      <c r="BC356" s="172"/>
      <c r="BD356" s="172"/>
      <c r="BE356" s="172"/>
      <c r="BF356" s="172"/>
      <c r="BG356" s="172"/>
      <c r="BH356" s="172"/>
      <c r="BI356" s="172"/>
      <c r="BJ356" s="172"/>
      <c r="BK356" s="172"/>
      <c r="BL356" s="172"/>
      <c r="BM356" s="172"/>
      <c r="BN356" s="172"/>
      <c r="BO356" s="172"/>
      <c r="BP356" s="172"/>
      <c r="BQ356" s="172"/>
      <c r="BR356" s="172"/>
      <c r="BS356" s="172"/>
      <c r="BT356" s="172"/>
      <c r="BU356" s="172"/>
      <c r="BV356" s="172"/>
      <c r="BW356" s="172"/>
    </row>
    <row r="357" spans="1:75" x14ac:dyDescent="0.2">
      <c r="A357" s="172"/>
      <c r="B357" s="172"/>
      <c r="C357" s="172"/>
      <c r="D357" s="172"/>
      <c r="E357" s="172"/>
      <c r="F357" s="172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  <c r="T357" s="172"/>
      <c r="U357" s="172"/>
      <c r="V357" s="172"/>
      <c r="W357" s="172"/>
      <c r="X357" s="172"/>
      <c r="Y357" s="172"/>
      <c r="Z357" s="172"/>
      <c r="AA357" s="172"/>
      <c r="AB357" s="172"/>
      <c r="AC357" s="172"/>
      <c r="AD357" s="172"/>
      <c r="AE357" s="172"/>
      <c r="AF357" s="172"/>
      <c r="AG357" s="172"/>
      <c r="AH357" s="172"/>
      <c r="AI357" s="172"/>
      <c r="AJ357" s="172"/>
      <c r="AK357" s="172"/>
      <c r="AL357" s="172"/>
      <c r="AM357" s="172"/>
      <c r="AN357" s="172"/>
      <c r="AO357" s="172"/>
      <c r="AP357" s="172"/>
      <c r="AQ357" s="172"/>
      <c r="AR357" s="172"/>
      <c r="AS357" s="172"/>
      <c r="AT357" s="172"/>
      <c r="AU357" s="172"/>
      <c r="AV357" s="172"/>
      <c r="AW357" s="172"/>
      <c r="AX357" s="172"/>
      <c r="AY357" s="172"/>
      <c r="AZ357" s="172"/>
      <c r="BA357" s="172"/>
      <c r="BB357" s="172"/>
      <c r="BC357" s="172"/>
      <c r="BD357" s="172"/>
      <c r="BE357" s="172"/>
      <c r="BF357" s="172"/>
      <c r="BG357" s="172"/>
      <c r="BH357" s="172"/>
      <c r="BI357" s="172"/>
      <c r="BJ357" s="172"/>
      <c r="BK357" s="172"/>
      <c r="BL357" s="172"/>
      <c r="BM357" s="172"/>
      <c r="BN357" s="172"/>
      <c r="BO357" s="172"/>
      <c r="BP357" s="172"/>
      <c r="BQ357" s="172"/>
      <c r="BR357" s="172"/>
      <c r="BS357" s="172"/>
      <c r="BT357" s="172"/>
      <c r="BU357" s="172"/>
      <c r="BV357" s="172"/>
      <c r="BW357" s="172"/>
    </row>
    <row r="358" spans="1:75" x14ac:dyDescent="0.2">
      <c r="A358" s="172"/>
      <c r="B358" s="172"/>
      <c r="C358" s="172"/>
      <c r="D358" s="172"/>
      <c r="E358" s="172"/>
      <c r="F358" s="172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  <c r="AA358" s="172"/>
      <c r="AB358" s="172"/>
      <c r="AC358" s="172"/>
      <c r="AD358" s="172"/>
      <c r="AE358" s="172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  <c r="AP358" s="172"/>
      <c r="AQ358" s="172"/>
      <c r="AR358" s="172"/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2"/>
      <c r="BC358" s="172"/>
      <c r="BD358" s="172"/>
      <c r="BE358" s="172"/>
      <c r="BF358" s="172"/>
      <c r="BG358" s="172"/>
      <c r="BH358" s="172"/>
      <c r="BI358" s="172"/>
      <c r="BJ358" s="172"/>
      <c r="BK358" s="172"/>
      <c r="BL358" s="172"/>
      <c r="BM358" s="172"/>
      <c r="BN358" s="172"/>
      <c r="BO358" s="172"/>
      <c r="BP358" s="172"/>
      <c r="BQ358" s="172"/>
      <c r="BR358" s="172"/>
      <c r="BS358" s="172"/>
      <c r="BT358" s="172"/>
      <c r="BU358" s="172"/>
      <c r="BV358" s="172"/>
      <c r="BW358" s="172"/>
    </row>
    <row r="359" spans="1:75" x14ac:dyDescent="0.2">
      <c r="A359" s="172"/>
      <c r="B359" s="172"/>
      <c r="C359" s="172"/>
      <c r="D359" s="172"/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2"/>
      <c r="Z359" s="172"/>
      <c r="AA359" s="172"/>
      <c r="AB359" s="172"/>
      <c r="AC359" s="172"/>
      <c r="AD359" s="172"/>
      <c r="AE359" s="172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  <c r="AP359" s="172"/>
      <c r="AQ359" s="172"/>
      <c r="AR359" s="172"/>
      <c r="AS359" s="172"/>
      <c r="AT359" s="172"/>
      <c r="AU359" s="172"/>
      <c r="AV359" s="172"/>
      <c r="AW359" s="172"/>
      <c r="AX359" s="172"/>
      <c r="AY359" s="172"/>
      <c r="AZ359" s="172"/>
      <c r="BA359" s="172"/>
      <c r="BB359" s="172"/>
      <c r="BC359" s="172"/>
      <c r="BD359" s="172"/>
      <c r="BE359" s="172"/>
      <c r="BF359" s="172"/>
      <c r="BG359" s="172"/>
      <c r="BH359" s="172"/>
      <c r="BI359" s="172"/>
      <c r="BJ359" s="172"/>
      <c r="BK359" s="172"/>
      <c r="BL359" s="172"/>
      <c r="BM359" s="172"/>
      <c r="BN359" s="172"/>
      <c r="BO359" s="172"/>
      <c r="BP359" s="172"/>
      <c r="BQ359" s="172"/>
      <c r="BR359" s="172"/>
      <c r="BS359" s="172"/>
      <c r="BT359" s="172"/>
      <c r="BU359" s="172"/>
      <c r="BV359" s="172"/>
      <c r="BW359" s="172"/>
    </row>
    <row r="360" spans="1:75" x14ac:dyDescent="0.2">
      <c r="A360" s="172"/>
      <c r="B360" s="172"/>
      <c r="C360" s="172"/>
      <c r="D360" s="17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  <c r="X360" s="172"/>
      <c r="Y360" s="172"/>
      <c r="Z360" s="172"/>
      <c r="AA360" s="172"/>
      <c r="AB360" s="172"/>
      <c r="AC360" s="172"/>
      <c r="AD360" s="172"/>
      <c r="AE360" s="172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  <c r="AP360" s="172"/>
      <c r="AQ360" s="172"/>
      <c r="AR360" s="172"/>
      <c r="AS360" s="172"/>
      <c r="AT360" s="172"/>
      <c r="AU360" s="172"/>
      <c r="AV360" s="172"/>
      <c r="AW360" s="172"/>
      <c r="AX360" s="172"/>
      <c r="AY360" s="172"/>
      <c r="AZ360" s="172"/>
      <c r="BA360" s="172"/>
      <c r="BB360" s="172"/>
      <c r="BC360" s="172"/>
      <c r="BD360" s="172"/>
      <c r="BE360" s="172"/>
      <c r="BF360" s="172"/>
      <c r="BG360" s="172"/>
      <c r="BH360" s="172"/>
      <c r="BI360" s="172"/>
      <c r="BJ360" s="172"/>
      <c r="BK360" s="172"/>
      <c r="BL360" s="172"/>
      <c r="BM360" s="172"/>
      <c r="BN360" s="172"/>
      <c r="BO360" s="172"/>
      <c r="BP360" s="172"/>
      <c r="BQ360" s="172"/>
      <c r="BR360" s="172"/>
      <c r="BS360" s="172"/>
      <c r="BT360" s="172"/>
      <c r="BU360" s="172"/>
      <c r="BV360" s="172"/>
      <c r="BW360" s="172"/>
    </row>
    <row r="361" spans="1:75" x14ac:dyDescent="0.2">
      <c r="A361" s="172"/>
      <c r="B361" s="172"/>
      <c r="C361" s="172"/>
      <c r="D361" s="172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  <c r="AA361" s="172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  <c r="AP361" s="172"/>
      <c r="AQ361" s="172"/>
      <c r="AR361" s="172"/>
      <c r="AS361" s="172"/>
      <c r="AT361" s="172"/>
      <c r="AU361" s="172"/>
      <c r="AV361" s="172"/>
      <c r="AW361" s="172"/>
      <c r="AX361" s="172"/>
      <c r="AY361" s="172"/>
      <c r="AZ361" s="172"/>
      <c r="BA361" s="172"/>
      <c r="BB361" s="172"/>
      <c r="BC361" s="172"/>
      <c r="BD361" s="172"/>
      <c r="BE361" s="172"/>
      <c r="BF361" s="172"/>
      <c r="BG361" s="172"/>
      <c r="BH361" s="172"/>
      <c r="BI361" s="172"/>
      <c r="BJ361" s="172"/>
      <c r="BK361" s="172"/>
      <c r="BL361" s="172"/>
      <c r="BM361" s="172"/>
      <c r="BN361" s="172"/>
      <c r="BO361" s="172"/>
      <c r="BP361" s="172"/>
      <c r="BQ361" s="172"/>
      <c r="BR361" s="172"/>
      <c r="BS361" s="172"/>
      <c r="BT361" s="172"/>
      <c r="BU361" s="172"/>
      <c r="BV361" s="172"/>
      <c r="BW361" s="172"/>
    </row>
    <row r="362" spans="1:75" x14ac:dyDescent="0.2">
      <c r="A362" s="172"/>
      <c r="B362" s="172"/>
      <c r="C362" s="172"/>
      <c r="D362" s="172"/>
      <c r="E362" s="172"/>
      <c r="F362" s="172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  <c r="AP362" s="172"/>
      <c r="AQ362" s="172"/>
      <c r="AR362" s="172"/>
      <c r="AS362" s="172"/>
      <c r="AT362" s="172"/>
      <c r="AU362" s="172"/>
      <c r="AV362" s="172"/>
      <c r="AW362" s="172"/>
      <c r="AX362" s="172"/>
      <c r="AY362" s="172"/>
      <c r="AZ362" s="172"/>
      <c r="BA362" s="172"/>
      <c r="BB362" s="172"/>
      <c r="BC362" s="172"/>
      <c r="BD362" s="172"/>
      <c r="BE362" s="172"/>
      <c r="BF362" s="172"/>
      <c r="BG362" s="172"/>
      <c r="BH362" s="172"/>
      <c r="BI362" s="172"/>
      <c r="BJ362" s="172"/>
      <c r="BK362" s="172"/>
      <c r="BL362" s="172"/>
      <c r="BM362" s="172"/>
      <c r="BN362" s="172"/>
      <c r="BO362" s="172"/>
      <c r="BP362" s="172"/>
      <c r="BQ362" s="172"/>
      <c r="BR362" s="172"/>
      <c r="BS362" s="172"/>
      <c r="BT362" s="172"/>
      <c r="BU362" s="172"/>
      <c r="BV362" s="172"/>
      <c r="BW362" s="172"/>
    </row>
    <row r="363" spans="1:75" x14ac:dyDescent="0.2">
      <c r="A363" s="172"/>
      <c r="B363" s="172"/>
      <c r="C363" s="172"/>
      <c r="D363" s="172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2"/>
      <c r="AT363" s="172"/>
      <c r="AU363" s="172"/>
      <c r="AV363" s="172"/>
      <c r="AW363" s="172"/>
      <c r="AX363" s="172"/>
      <c r="AY363" s="172"/>
      <c r="AZ363" s="172"/>
      <c r="BA363" s="172"/>
      <c r="BB363" s="172"/>
      <c r="BC363" s="172"/>
      <c r="BD363" s="172"/>
      <c r="BE363" s="172"/>
      <c r="BF363" s="172"/>
      <c r="BG363" s="172"/>
      <c r="BH363" s="172"/>
      <c r="BI363" s="172"/>
      <c r="BJ363" s="172"/>
      <c r="BK363" s="172"/>
      <c r="BL363" s="172"/>
      <c r="BM363" s="172"/>
      <c r="BN363" s="172"/>
      <c r="BO363" s="172"/>
      <c r="BP363" s="172"/>
      <c r="BQ363" s="172"/>
      <c r="BR363" s="172"/>
      <c r="BS363" s="172"/>
      <c r="BT363" s="172"/>
      <c r="BU363" s="172"/>
      <c r="BV363" s="172"/>
      <c r="BW363" s="172"/>
    </row>
    <row r="364" spans="1:75" x14ac:dyDescent="0.2">
      <c r="A364" s="172"/>
      <c r="B364" s="172"/>
      <c r="C364" s="172"/>
      <c r="D364" s="172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2"/>
      <c r="AT364" s="172"/>
      <c r="AU364" s="172"/>
      <c r="AV364" s="172"/>
      <c r="AW364" s="172"/>
      <c r="AX364" s="172"/>
      <c r="AY364" s="172"/>
      <c r="AZ364" s="172"/>
      <c r="BA364" s="172"/>
      <c r="BB364" s="172"/>
      <c r="BC364" s="172"/>
      <c r="BD364" s="172"/>
      <c r="BE364" s="172"/>
      <c r="BF364" s="172"/>
      <c r="BG364" s="172"/>
      <c r="BH364" s="172"/>
      <c r="BI364" s="172"/>
      <c r="BJ364" s="172"/>
      <c r="BK364" s="172"/>
      <c r="BL364" s="172"/>
      <c r="BM364" s="172"/>
      <c r="BN364" s="172"/>
      <c r="BO364" s="172"/>
      <c r="BP364" s="172"/>
      <c r="BQ364" s="172"/>
      <c r="BR364" s="172"/>
      <c r="BS364" s="172"/>
      <c r="BT364" s="172"/>
      <c r="BU364" s="172"/>
      <c r="BV364" s="172"/>
      <c r="BW364" s="172"/>
    </row>
    <row r="365" spans="1:75" x14ac:dyDescent="0.2">
      <c r="A365" s="172"/>
      <c r="B365" s="172"/>
      <c r="C365" s="172"/>
      <c r="D365" s="172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2"/>
      <c r="AT365" s="172"/>
      <c r="AU365" s="172"/>
      <c r="AV365" s="172"/>
      <c r="AW365" s="172"/>
      <c r="AX365" s="172"/>
      <c r="AY365" s="172"/>
      <c r="AZ365" s="172"/>
      <c r="BA365" s="172"/>
      <c r="BB365" s="172"/>
      <c r="BC365" s="172"/>
      <c r="BD365" s="172"/>
      <c r="BE365" s="172"/>
      <c r="BF365" s="172"/>
      <c r="BG365" s="172"/>
      <c r="BH365" s="172"/>
      <c r="BI365" s="172"/>
      <c r="BJ365" s="172"/>
      <c r="BK365" s="172"/>
      <c r="BL365" s="172"/>
      <c r="BM365" s="172"/>
      <c r="BN365" s="172"/>
      <c r="BO365" s="172"/>
      <c r="BP365" s="172"/>
      <c r="BQ365" s="172"/>
      <c r="BR365" s="172"/>
      <c r="BS365" s="172"/>
      <c r="BT365" s="172"/>
      <c r="BU365" s="172"/>
      <c r="BV365" s="172"/>
      <c r="BW365" s="172"/>
    </row>
    <row r="366" spans="1:75" x14ac:dyDescent="0.2">
      <c r="A366" s="172"/>
      <c r="B366" s="172"/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2"/>
      <c r="AT366" s="172"/>
      <c r="AU366" s="172"/>
      <c r="AV366" s="172"/>
      <c r="AW366" s="172"/>
      <c r="AX366" s="172"/>
      <c r="AY366" s="172"/>
      <c r="AZ366" s="172"/>
      <c r="BA366" s="172"/>
      <c r="BB366" s="172"/>
      <c r="BC366" s="172"/>
      <c r="BD366" s="172"/>
      <c r="BE366" s="172"/>
      <c r="BF366" s="172"/>
      <c r="BG366" s="172"/>
      <c r="BH366" s="172"/>
      <c r="BI366" s="172"/>
      <c r="BJ366" s="172"/>
      <c r="BK366" s="172"/>
      <c r="BL366" s="172"/>
      <c r="BM366" s="172"/>
      <c r="BN366" s="172"/>
      <c r="BO366" s="172"/>
      <c r="BP366" s="172"/>
      <c r="BQ366" s="172"/>
      <c r="BR366" s="172"/>
      <c r="BS366" s="172"/>
      <c r="BT366" s="172"/>
      <c r="BU366" s="172"/>
      <c r="BV366" s="172"/>
      <c r="BW366" s="172"/>
    </row>
    <row r="367" spans="1:75" x14ac:dyDescent="0.2">
      <c r="A367" s="172"/>
      <c r="B367" s="172"/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2"/>
      <c r="AT367" s="172"/>
      <c r="AU367" s="172"/>
      <c r="AV367" s="172"/>
      <c r="AW367" s="172"/>
      <c r="AX367" s="172"/>
      <c r="AY367" s="172"/>
      <c r="AZ367" s="172"/>
      <c r="BA367" s="172"/>
      <c r="BB367" s="172"/>
      <c r="BC367" s="172"/>
      <c r="BD367" s="172"/>
      <c r="BE367" s="172"/>
      <c r="BF367" s="172"/>
      <c r="BG367" s="172"/>
      <c r="BH367" s="172"/>
      <c r="BI367" s="172"/>
      <c r="BJ367" s="172"/>
      <c r="BK367" s="172"/>
      <c r="BL367" s="172"/>
      <c r="BM367" s="172"/>
      <c r="BN367" s="172"/>
      <c r="BO367" s="172"/>
      <c r="BP367" s="172"/>
      <c r="BQ367" s="172"/>
      <c r="BR367" s="172"/>
      <c r="BS367" s="172"/>
      <c r="BT367" s="172"/>
      <c r="BU367" s="172"/>
      <c r="BV367" s="172"/>
      <c r="BW367" s="172"/>
    </row>
    <row r="368" spans="1:75" x14ac:dyDescent="0.2">
      <c r="A368" s="172"/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2"/>
      <c r="AT368" s="172"/>
      <c r="AU368" s="172"/>
      <c r="AV368" s="172"/>
      <c r="AW368" s="172"/>
      <c r="AX368" s="172"/>
      <c r="AY368" s="172"/>
      <c r="AZ368" s="172"/>
      <c r="BA368" s="172"/>
      <c r="BB368" s="172"/>
      <c r="BC368" s="172"/>
      <c r="BD368" s="172"/>
      <c r="BE368" s="172"/>
      <c r="BF368" s="172"/>
      <c r="BG368" s="172"/>
      <c r="BH368" s="172"/>
      <c r="BI368" s="172"/>
      <c r="BJ368" s="172"/>
      <c r="BK368" s="172"/>
      <c r="BL368" s="172"/>
      <c r="BM368" s="172"/>
      <c r="BN368" s="172"/>
      <c r="BO368" s="172"/>
      <c r="BP368" s="172"/>
      <c r="BQ368" s="172"/>
      <c r="BR368" s="172"/>
      <c r="BS368" s="172"/>
      <c r="BT368" s="172"/>
      <c r="BU368" s="172"/>
      <c r="BV368" s="172"/>
      <c r="BW368" s="172"/>
    </row>
    <row r="369" spans="1:75" x14ac:dyDescent="0.2">
      <c r="A369" s="172"/>
      <c r="B369" s="172"/>
      <c r="C369" s="172"/>
      <c r="D369" s="172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72"/>
      <c r="AT369" s="172"/>
      <c r="AU369" s="172"/>
      <c r="AV369" s="172"/>
      <c r="AW369" s="172"/>
      <c r="AX369" s="172"/>
      <c r="AY369" s="172"/>
      <c r="AZ369" s="172"/>
      <c r="BA369" s="172"/>
      <c r="BB369" s="172"/>
      <c r="BC369" s="172"/>
      <c r="BD369" s="172"/>
      <c r="BE369" s="172"/>
      <c r="BF369" s="172"/>
      <c r="BG369" s="172"/>
      <c r="BH369" s="172"/>
      <c r="BI369" s="172"/>
      <c r="BJ369" s="172"/>
      <c r="BK369" s="172"/>
      <c r="BL369" s="172"/>
      <c r="BM369" s="172"/>
      <c r="BN369" s="172"/>
      <c r="BO369" s="172"/>
      <c r="BP369" s="172"/>
      <c r="BQ369" s="172"/>
      <c r="BR369" s="172"/>
      <c r="BS369" s="172"/>
      <c r="BT369" s="172"/>
      <c r="BU369" s="172"/>
      <c r="BV369" s="172"/>
      <c r="BW369" s="172"/>
    </row>
    <row r="370" spans="1:75" x14ac:dyDescent="0.2">
      <c r="A370" s="172"/>
      <c r="B370" s="172"/>
      <c r="C370" s="172"/>
      <c r="D370" s="172"/>
      <c r="E370" s="172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72"/>
      <c r="AT370" s="172"/>
      <c r="AU370" s="172"/>
      <c r="AV370" s="172"/>
      <c r="AW370" s="172"/>
      <c r="AX370" s="172"/>
      <c r="AY370" s="172"/>
      <c r="AZ370" s="172"/>
      <c r="BA370" s="172"/>
      <c r="BB370" s="172"/>
      <c r="BC370" s="172"/>
      <c r="BD370" s="172"/>
      <c r="BE370" s="172"/>
      <c r="BF370" s="172"/>
      <c r="BG370" s="172"/>
      <c r="BH370" s="172"/>
      <c r="BI370" s="172"/>
      <c r="BJ370" s="172"/>
      <c r="BK370" s="172"/>
      <c r="BL370" s="172"/>
      <c r="BM370" s="172"/>
      <c r="BN370" s="172"/>
      <c r="BO370" s="172"/>
      <c r="BP370" s="172"/>
      <c r="BQ370" s="172"/>
      <c r="BR370" s="172"/>
      <c r="BS370" s="172"/>
      <c r="BT370" s="172"/>
      <c r="BU370" s="172"/>
      <c r="BV370" s="172"/>
      <c r="BW370" s="172"/>
    </row>
    <row r="371" spans="1:75" x14ac:dyDescent="0.2">
      <c r="A371" s="172"/>
      <c r="B371" s="172"/>
      <c r="C371" s="172"/>
      <c r="D371" s="172"/>
      <c r="E371" s="172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2"/>
      <c r="AT371" s="172"/>
      <c r="AU371" s="172"/>
      <c r="AV371" s="172"/>
      <c r="AW371" s="172"/>
      <c r="AX371" s="172"/>
      <c r="AY371" s="172"/>
      <c r="AZ371" s="172"/>
      <c r="BA371" s="172"/>
      <c r="BB371" s="172"/>
      <c r="BC371" s="172"/>
      <c r="BD371" s="172"/>
      <c r="BE371" s="172"/>
      <c r="BF371" s="172"/>
      <c r="BG371" s="172"/>
      <c r="BH371" s="172"/>
      <c r="BI371" s="172"/>
      <c r="BJ371" s="172"/>
      <c r="BK371" s="172"/>
      <c r="BL371" s="172"/>
      <c r="BM371" s="172"/>
      <c r="BN371" s="172"/>
      <c r="BO371" s="172"/>
      <c r="BP371" s="172"/>
      <c r="BQ371" s="172"/>
      <c r="BR371" s="172"/>
      <c r="BS371" s="172"/>
      <c r="BT371" s="172"/>
      <c r="BU371" s="172"/>
      <c r="BV371" s="172"/>
      <c r="BW371" s="172"/>
    </row>
    <row r="372" spans="1:75" x14ac:dyDescent="0.2">
      <c r="A372" s="172"/>
      <c r="B372" s="172"/>
      <c r="C372" s="172"/>
      <c r="D372" s="172"/>
      <c r="E372" s="172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2"/>
      <c r="V372" s="172"/>
      <c r="W372" s="172"/>
      <c r="X372" s="172"/>
      <c r="Y372" s="172"/>
      <c r="Z372" s="172"/>
      <c r="AA372" s="172"/>
      <c r="AB372" s="172"/>
      <c r="AC372" s="172"/>
      <c r="AD372" s="172"/>
      <c r="AE372" s="172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  <c r="AP372" s="172"/>
      <c r="AQ372" s="172"/>
      <c r="AR372" s="172"/>
      <c r="AS372" s="172"/>
      <c r="AT372" s="172"/>
      <c r="AU372" s="172"/>
      <c r="AV372" s="172"/>
      <c r="AW372" s="172"/>
      <c r="AX372" s="172"/>
      <c r="AY372" s="172"/>
      <c r="AZ372" s="172"/>
      <c r="BA372" s="172"/>
      <c r="BB372" s="172"/>
      <c r="BC372" s="172"/>
      <c r="BD372" s="172"/>
      <c r="BE372" s="172"/>
      <c r="BF372" s="172"/>
      <c r="BG372" s="172"/>
      <c r="BH372" s="172"/>
      <c r="BI372" s="172"/>
      <c r="BJ372" s="172"/>
      <c r="BK372" s="172"/>
      <c r="BL372" s="172"/>
      <c r="BM372" s="172"/>
      <c r="BN372" s="172"/>
      <c r="BO372" s="172"/>
      <c r="BP372" s="172"/>
      <c r="BQ372" s="172"/>
      <c r="BR372" s="172"/>
      <c r="BS372" s="172"/>
      <c r="BT372" s="172"/>
      <c r="BU372" s="172"/>
      <c r="BV372" s="172"/>
      <c r="BW372" s="172"/>
    </row>
    <row r="373" spans="1:75" x14ac:dyDescent="0.2">
      <c r="A373" s="172"/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72"/>
      <c r="AC373" s="172"/>
      <c r="AD373" s="172"/>
      <c r="AE373" s="172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  <c r="AP373" s="172"/>
      <c r="AQ373" s="172"/>
      <c r="AR373" s="172"/>
      <c r="AS373" s="172"/>
      <c r="AT373" s="172"/>
      <c r="AU373" s="172"/>
      <c r="AV373" s="172"/>
      <c r="AW373" s="172"/>
      <c r="AX373" s="172"/>
      <c r="AY373" s="172"/>
      <c r="AZ373" s="172"/>
      <c r="BA373" s="172"/>
      <c r="BB373" s="172"/>
      <c r="BC373" s="172"/>
      <c r="BD373" s="172"/>
      <c r="BE373" s="172"/>
      <c r="BF373" s="172"/>
      <c r="BG373" s="172"/>
      <c r="BH373" s="172"/>
      <c r="BI373" s="172"/>
      <c r="BJ373" s="172"/>
      <c r="BK373" s="172"/>
      <c r="BL373" s="172"/>
      <c r="BM373" s="172"/>
      <c r="BN373" s="172"/>
      <c r="BO373" s="172"/>
      <c r="BP373" s="172"/>
      <c r="BQ373" s="172"/>
      <c r="BR373" s="172"/>
      <c r="BS373" s="172"/>
      <c r="BT373" s="172"/>
      <c r="BU373" s="172"/>
      <c r="BV373" s="172"/>
      <c r="BW373" s="172"/>
    </row>
    <row r="374" spans="1:75" x14ac:dyDescent="0.2">
      <c r="A374" s="172"/>
      <c r="B374" s="172"/>
      <c r="C374" s="172"/>
      <c r="D374" s="172"/>
      <c r="E374" s="172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72"/>
      <c r="AT374" s="172"/>
      <c r="AU374" s="172"/>
      <c r="AV374" s="172"/>
      <c r="AW374" s="172"/>
      <c r="AX374" s="172"/>
      <c r="AY374" s="172"/>
      <c r="AZ374" s="172"/>
      <c r="BA374" s="172"/>
      <c r="BB374" s="172"/>
      <c r="BC374" s="172"/>
      <c r="BD374" s="172"/>
      <c r="BE374" s="172"/>
      <c r="BF374" s="172"/>
      <c r="BG374" s="172"/>
      <c r="BH374" s="172"/>
      <c r="BI374" s="172"/>
      <c r="BJ374" s="172"/>
      <c r="BK374" s="172"/>
      <c r="BL374" s="172"/>
      <c r="BM374" s="172"/>
      <c r="BN374" s="172"/>
      <c r="BO374" s="172"/>
      <c r="BP374" s="172"/>
      <c r="BQ374" s="172"/>
      <c r="BR374" s="172"/>
      <c r="BS374" s="172"/>
      <c r="BT374" s="172"/>
      <c r="BU374" s="172"/>
      <c r="BV374" s="172"/>
      <c r="BW374" s="172"/>
    </row>
    <row r="375" spans="1:75" x14ac:dyDescent="0.2">
      <c r="A375" s="172"/>
      <c r="B375" s="172"/>
      <c r="C375" s="172"/>
      <c r="D375" s="172"/>
      <c r="E375" s="172"/>
      <c r="F375" s="172"/>
      <c r="G375" s="172"/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  <c r="T375" s="172"/>
      <c r="U375" s="172"/>
      <c r="V375" s="172"/>
      <c r="W375" s="172"/>
      <c r="X375" s="172"/>
      <c r="Y375" s="172"/>
      <c r="Z375" s="172"/>
      <c r="AA375" s="172"/>
      <c r="AB375" s="172"/>
      <c r="AC375" s="172"/>
      <c r="AD375" s="172"/>
      <c r="AE375" s="172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  <c r="AP375" s="172"/>
      <c r="AQ375" s="172"/>
      <c r="AR375" s="172"/>
      <c r="AS375" s="172"/>
      <c r="AT375" s="172"/>
      <c r="AU375" s="172"/>
      <c r="AV375" s="172"/>
      <c r="AW375" s="172"/>
      <c r="AX375" s="172"/>
      <c r="AY375" s="172"/>
      <c r="AZ375" s="172"/>
      <c r="BA375" s="172"/>
      <c r="BB375" s="172"/>
      <c r="BC375" s="172"/>
      <c r="BD375" s="172"/>
      <c r="BE375" s="172"/>
      <c r="BF375" s="172"/>
      <c r="BG375" s="172"/>
      <c r="BH375" s="172"/>
      <c r="BI375" s="172"/>
      <c r="BJ375" s="172"/>
      <c r="BK375" s="172"/>
      <c r="BL375" s="172"/>
      <c r="BM375" s="172"/>
      <c r="BN375" s="172"/>
      <c r="BO375" s="172"/>
      <c r="BP375" s="172"/>
      <c r="BQ375" s="172"/>
      <c r="BR375" s="172"/>
      <c r="BS375" s="172"/>
      <c r="BT375" s="172"/>
      <c r="BU375" s="172"/>
      <c r="BV375" s="172"/>
      <c r="BW375" s="172"/>
    </row>
    <row r="376" spans="1:75" x14ac:dyDescent="0.2">
      <c r="A376" s="172"/>
      <c r="B376" s="172"/>
      <c r="C376" s="172"/>
      <c r="D376" s="172"/>
      <c r="E376" s="172"/>
      <c r="F376" s="172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  <c r="T376" s="172"/>
      <c r="U376" s="172"/>
      <c r="V376" s="172"/>
      <c r="W376" s="172"/>
      <c r="X376" s="172"/>
      <c r="Y376" s="172"/>
      <c r="Z376" s="172"/>
      <c r="AA376" s="172"/>
      <c r="AB376" s="172"/>
      <c r="AC376" s="172"/>
      <c r="AD376" s="172"/>
      <c r="AE376" s="172"/>
      <c r="AF376" s="172"/>
      <c r="AG376" s="172"/>
      <c r="AH376" s="172"/>
      <c r="AI376" s="172"/>
      <c r="AJ376" s="172"/>
      <c r="AK376" s="172"/>
      <c r="AL376" s="172"/>
      <c r="AM376" s="172"/>
      <c r="AN376" s="172"/>
      <c r="AO376" s="172"/>
      <c r="AP376" s="172"/>
      <c r="AQ376" s="172"/>
      <c r="AR376" s="172"/>
      <c r="AS376" s="172"/>
      <c r="AT376" s="172"/>
      <c r="AU376" s="172"/>
      <c r="AV376" s="172"/>
      <c r="AW376" s="172"/>
      <c r="AX376" s="172"/>
      <c r="AY376" s="172"/>
      <c r="AZ376" s="172"/>
      <c r="BA376" s="172"/>
      <c r="BB376" s="172"/>
      <c r="BC376" s="172"/>
      <c r="BD376" s="172"/>
      <c r="BE376" s="172"/>
      <c r="BF376" s="172"/>
      <c r="BG376" s="172"/>
      <c r="BH376" s="172"/>
      <c r="BI376" s="172"/>
      <c r="BJ376" s="172"/>
      <c r="BK376" s="172"/>
      <c r="BL376" s="172"/>
      <c r="BM376" s="172"/>
      <c r="BN376" s="172"/>
      <c r="BO376" s="172"/>
      <c r="BP376" s="172"/>
      <c r="BQ376" s="172"/>
      <c r="BR376" s="172"/>
      <c r="BS376" s="172"/>
      <c r="BT376" s="172"/>
      <c r="BU376" s="172"/>
      <c r="BV376" s="172"/>
      <c r="BW376" s="172"/>
    </row>
    <row r="377" spans="1:75" x14ac:dyDescent="0.2">
      <c r="A377" s="172"/>
      <c r="B377" s="172"/>
      <c r="C377" s="172"/>
      <c r="D377" s="172"/>
      <c r="E377" s="172"/>
      <c r="F377" s="172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  <c r="V377" s="172"/>
      <c r="W377" s="172"/>
      <c r="X377" s="172"/>
      <c r="Y377" s="172"/>
      <c r="Z377" s="172"/>
      <c r="AA377" s="172"/>
      <c r="AB377" s="172"/>
      <c r="AC377" s="172"/>
      <c r="AD377" s="172"/>
      <c r="AE377" s="172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  <c r="AP377" s="172"/>
      <c r="AQ377" s="172"/>
      <c r="AR377" s="172"/>
      <c r="AS377" s="172"/>
      <c r="AT377" s="172"/>
      <c r="AU377" s="172"/>
      <c r="AV377" s="172"/>
      <c r="AW377" s="172"/>
      <c r="AX377" s="172"/>
      <c r="AY377" s="172"/>
      <c r="AZ377" s="172"/>
      <c r="BA377" s="172"/>
      <c r="BB377" s="172"/>
      <c r="BC377" s="172"/>
      <c r="BD377" s="172"/>
      <c r="BE377" s="172"/>
      <c r="BF377" s="172"/>
      <c r="BG377" s="172"/>
      <c r="BH377" s="172"/>
      <c r="BI377" s="172"/>
      <c r="BJ377" s="172"/>
      <c r="BK377" s="172"/>
      <c r="BL377" s="172"/>
      <c r="BM377" s="172"/>
      <c r="BN377" s="172"/>
      <c r="BO377" s="172"/>
      <c r="BP377" s="172"/>
      <c r="BQ377" s="172"/>
      <c r="BR377" s="172"/>
      <c r="BS377" s="172"/>
      <c r="BT377" s="172"/>
      <c r="BU377" s="172"/>
      <c r="BV377" s="172"/>
      <c r="BW377" s="172"/>
    </row>
    <row r="378" spans="1:75" x14ac:dyDescent="0.2">
      <c r="A378" s="172"/>
      <c r="B378" s="172"/>
      <c r="C378" s="172"/>
      <c r="D378" s="172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  <c r="AA378" s="172"/>
      <c r="AB378" s="172"/>
      <c r="AC378" s="172"/>
      <c r="AD378" s="172"/>
      <c r="AE378" s="172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  <c r="AP378" s="172"/>
      <c r="AQ378" s="172"/>
      <c r="AR378" s="172"/>
      <c r="AS378" s="172"/>
      <c r="AT378" s="172"/>
      <c r="AU378" s="172"/>
      <c r="AV378" s="172"/>
      <c r="AW378" s="172"/>
      <c r="AX378" s="172"/>
      <c r="AY378" s="172"/>
      <c r="AZ378" s="172"/>
      <c r="BA378" s="172"/>
      <c r="BB378" s="172"/>
      <c r="BC378" s="172"/>
      <c r="BD378" s="172"/>
      <c r="BE378" s="172"/>
      <c r="BF378" s="172"/>
      <c r="BG378" s="172"/>
      <c r="BH378" s="172"/>
      <c r="BI378" s="172"/>
      <c r="BJ378" s="172"/>
      <c r="BK378" s="172"/>
      <c r="BL378" s="172"/>
      <c r="BM378" s="172"/>
      <c r="BN378" s="172"/>
      <c r="BO378" s="172"/>
      <c r="BP378" s="172"/>
      <c r="BQ378" s="172"/>
      <c r="BR378" s="172"/>
      <c r="BS378" s="172"/>
      <c r="BT378" s="172"/>
      <c r="BU378" s="172"/>
      <c r="BV378" s="172"/>
      <c r="BW378" s="172"/>
    </row>
    <row r="379" spans="1:75" x14ac:dyDescent="0.2">
      <c r="A379" s="172"/>
      <c r="B379" s="172"/>
      <c r="C379" s="172"/>
      <c r="D379" s="172"/>
      <c r="E379" s="172"/>
      <c r="F379" s="172"/>
      <c r="G379" s="172"/>
      <c r="H379" s="172"/>
      <c r="I379" s="172"/>
      <c r="J379" s="172"/>
      <c r="K379" s="172"/>
      <c r="L379" s="172"/>
      <c r="M379" s="172"/>
      <c r="N379" s="172"/>
      <c r="O379" s="172"/>
      <c r="P379" s="172"/>
      <c r="Q379" s="172"/>
      <c r="R379" s="172"/>
      <c r="S379" s="172"/>
      <c r="T379" s="172"/>
      <c r="U379" s="172"/>
      <c r="V379" s="172"/>
      <c r="W379" s="172"/>
      <c r="X379" s="172"/>
      <c r="Y379" s="172"/>
      <c r="Z379" s="172"/>
      <c r="AA379" s="172"/>
      <c r="AB379" s="172"/>
      <c r="AC379" s="172"/>
      <c r="AD379" s="172"/>
      <c r="AE379" s="172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  <c r="AP379" s="172"/>
      <c r="AQ379" s="172"/>
      <c r="AR379" s="172"/>
      <c r="AS379" s="172"/>
      <c r="AT379" s="172"/>
      <c r="AU379" s="172"/>
      <c r="AV379" s="172"/>
      <c r="AW379" s="172"/>
      <c r="AX379" s="172"/>
      <c r="AY379" s="172"/>
      <c r="AZ379" s="172"/>
      <c r="BA379" s="172"/>
      <c r="BB379" s="172"/>
      <c r="BC379" s="172"/>
      <c r="BD379" s="172"/>
      <c r="BE379" s="172"/>
      <c r="BF379" s="172"/>
      <c r="BG379" s="172"/>
      <c r="BH379" s="172"/>
      <c r="BI379" s="172"/>
      <c r="BJ379" s="172"/>
      <c r="BK379" s="172"/>
      <c r="BL379" s="172"/>
      <c r="BM379" s="172"/>
      <c r="BN379" s="172"/>
      <c r="BO379" s="172"/>
      <c r="BP379" s="172"/>
      <c r="BQ379" s="172"/>
      <c r="BR379" s="172"/>
      <c r="BS379" s="172"/>
      <c r="BT379" s="172"/>
      <c r="BU379" s="172"/>
      <c r="BV379" s="172"/>
      <c r="BW379" s="172"/>
    </row>
    <row r="380" spans="1:75" x14ac:dyDescent="0.2">
      <c r="A380" s="172"/>
      <c r="B380" s="172"/>
      <c r="C380" s="172"/>
      <c r="D380" s="172"/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  <c r="AP380" s="172"/>
      <c r="AQ380" s="172"/>
      <c r="AR380" s="172"/>
      <c r="AS380" s="172"/>
      <c r="AT380" s="172"/>
      <c r="AU380" s="172"/>
      <c r="AV380" s="172"/>
      <c r="AW380" s="172"/>
      <c r="AX380" s="172"/>
      <c r="AY380" s="172"/>
      <c r="AZ380" s="172"/>
      <c r="BA380" s="172"/>
      <c r="BB380" s="172"/>
      <c r="BC380" s="172"/>
      <c r="BD380" s="172"/>
      <c r="BE380" s="172"/>
      <c r="BF380" s="172"/>
      <c r="BG380" s="172"/>
      <c r="BH380" s="172"/>
      <c r="BI380" s="172"/>
      <c r="BJ380" s="172"/>
      <c r="BK380" s="172"/>
      <c r="BL380" s="172"/>
      <c r="BM380" s="172"/>
      <c r="BN380" s="172"/>
      <c r="BO380" s="172"/>
      <c r="BP380" s="172"/>
      <c r="BQ380" s="172"/>
      <c r="BR380" s="172"/>
      <c r="BS380" s="172"/>
      <c r="BT380" s="172"/>
      <c r="BU380" s="172"/>
      <c r="BV380" s="172"/>
      <c r="BW380" s="172"/>
    </row>
    <row r="381" spans="1:75" x14ac:dyDescent="0.2">
      <c r="A381" s="172"/>
      <c r="B381" s="172"/>
      <c r="C381" s="172"/>
      <c r="D381" s="17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2"/>
      <c r="AT381" s="172"/>
      <c r="AU381" s="172"/>
      <c r="AV381" s="172"/>
      <c r="AW381" s="172"/>
      <c r="AX381" s="172"/>
      <c r="AY381" s="172"/>
      <c r="AZ381" s="172"/>
      <c r="BA381" s="172"/>
      <c r="BB381" s="172"/>
      <c r="BC381" s="172"/>
      <c r="BD381" s="172"/>
      <c r="BE381" s="172"/>
      <c r="BF381" s="172"/>
      <c r="BG381" s="172"/>
      <c r="BH381" s="172"/>
      <c r="BI381" s="172"/>
      <c r="BJ381" s="172"/>
      <c r="BK381" s="172"/>
      <c r="BL381" s="172"/>
      <c r="BM381" s="172"/>
      <c r="BN381" s="172"/>
      <c r="BO381" s="172"/>
      <c r="BP381" s="172"/>
      <c r="BQ381" s="172"/>
      <c r="BR381" s="172"/>
      <c r="BS381" s="172"/>
      <c r="BT381" s="172"/>
      <c r="BU381" s="172"/>
      <c r="BV381" s="172"/>
      <c r="BW381" s="172"/>
    </row>
    <row r="382" spans="1:75" x14ac:dyDescent="0.2">
      <c r="A382" s="172"/>
      <c r="B382" s="172"/>
      <c r="C382" s="172"/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2"/>
      <c r="AT382" s="172"/>
      <c r="AU382" s="172"/>
      <c r="AV382" s="172"/>
      <c r="AW382" s="172"/>
      <c r="AX382" s="172"/>
      <c r="AY382" s="172"/>
      <c r="AZ382" s="172"/>
      <c r="BA382" s="172"/>
      <c r="BB382" s="172"/>
      <c r="BC382" s="172"/>
      <c r="BD382" s="172"/>
      <c r="BE382" s="172"/>
      <c r="BF382" s="172"/>
      <c r="BG382" s="172"/>
      <c r="BH382" s="172"/>
      <c r="BI382" s="172"/>
      <c r="BJ382" s="172"/>
      <c r="BK382" s="172"/>
      <c r="BL382" s="172"/>
      <c r="BM382" s="172"/>
      <c r="BN382" s="172"/>
      <c r="BO382" s="172"/>
      <c r="BP382" s="172"/>
      <c r="BQ382" s="172"/>
      <c r="BR382" s="172"/>
      <c r="BS382" s="172"/>
      <c r="BT382" s="172"/>
      <c r="BU382" s="172"/>
      <c r="BV382" s="172"/>
      <c r="BW382" s="172"/>
    </row>
  </sheetData>
  <mergeCells count="7">
    <mergeCell ref="A6:G6"/>
    <mergeCell ref="A8:A9"/>
    <mergeCell ref="G8:G9"/>
    <mergeCell ref="D8:E8"/>
    <mergeCell ref="B8:B9"/>
    <mergeCell ref="C8:C9"/>
    <mergeCell ref="F8:F9"/>
  </mergeCells>
  <pageMargins left="0.51181102362204722" right="0.51181102362204722" top="0.45" bottom="0.78740157480314965" header="0.23" footer="0.31496062992125984"/>
  <pageSetup paperSize="9" scale="60" orientation="portrait" r:id="rId1"/>
  <ignoredErrors>
    <ignoredError sqref="L41 L29 L30 L32:L40 L31 F57:F62 E51:I53 E63:I63 E57:E62 G57:I62 E55:I56 E54:H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40899" r:id="rId4" name="List Box 3">
              <controlPr defaultSize="0" print="0" autoLine="0" autoPict="0">
                <anchor moveWithCells="1">
                  <from>
                    <xdr:col>11</xdr:col>
                    <xdr:colOff>714375</xdr:colOff>
                    <xdr:row>5</xdr:row>
                    <xdr:rowOff>28575</xdr:rowOff>
                  </from>
                  <to>
                    <xdr:col>13</xdr:col>
                    <xdr:colOff>381000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/>
  <dimension ref="A1:W531"/>
  <sheetViews>
    <sheetView showGridLines="0" zoomScaleNormal="100" workbookViewId="0">
      <pane ySplit="6" topLeftCell="A514" activePane="bottomLeft" state="frozen"/>
      <selection activeCell="E491" sqref="E491"/>
      <selection pane="bottomLeft" activeCell="B522" sqref="B522"/>
    </sheetView>
  </sheetViews>
  <sheetFormatPr defaultRowHeight="12.75" outlineLevelRow="1" x14ac:dyDescent="0.2"/>
  <cols>
    <col min="1" max="1" width="10.42578125" style="1" customWidth="1"/>
    <col min="2" max="2" width="13.85546875" style="2" customWidth="1"/>
    <col min="3" max="4" width="12.42578125" style="2" customWidth="1"/>
    <col min="5" max="5" width="10.28515625" style="159" customWidth="1"/>
    <col min="6" max="6" width="12.42578125" style="1" customWidth="1"/>
    <col min="7" max="7" width="16.42578125" style="1" customWidth="1"/>
    <col min="8" max="8" width="4.28515625" style="1" bestFit="1" customWidth="1"/>
    <col min="9" max="9" width="7.42578125" style="1" customWidth="1"/>
    <col min="10" max="10" width="13.5703125" style="1" customWidth="1"/>
    <col min="11" max="11" width="7.42578125" style="1" bestFit="1" customWidth="1"/>
    <col min="13" max="13" width="17" style="1" bestFit="1" customWidth="1"/>
    <col min="14" max="14" width="11.85546875" style="1" bestFit="1" customWidth="1"/>
    <col min="15" max="15" width="14.5703125" style="1" bestFit="1" customWidth="1"/>
    <col min="16" max="16" width="12" style="1" bestFit="1" customWidth="1"/>
    <col min="17" max="17" width="11" style="1" bestFit="1" customWidth="1"/>
    <col min="18" max="20" width="8.85546875" style="1" customWidth="1"/>
    <col min="21" max="21" width="10.28515625" style="1" bestFit="1" customWidth="1"/>
    <col min="22" max="22" width="11.85546875" style="1" bestFit="1" customWidth="1"/>
    <col min="23" max="16384" width="9.140625" style="1"/>
  </cols>
  <sheetData>
    <row r="1" spans="1:7" x14ac:dyDescent="0.2">
      <c r="A1" s="54">
        <v>369</v>
      </c>
    </row>
    <row r="2" spans="1:7" x14ac:dyDescent="0.2">
      <c r="B2" s="58" t="s">
        <v>101</v>
      </c>
      <c r="C2" s="58"/>
      <c r="D2" s="58"/>
      <c r="E2" s="160"/>
      <c r="F2" s="58"/>
      <c r="G2" s="58"/>
    </row>
    <row r="3" spans="1:7" x14ac:dyDescent="0.2">
      <c r="B3" s="190" t="s">
        <v>76</v>
      </c>
      <c r="C3" s="191"/>
      <c r="D3" s="191"/>
      <c r="E3" s="191"/>
      <c r="F3" s="191"/>
      <c r="G3" s="191"/>
    </row>
    <row r="4" spans="1:7" x14ac:dyDescent="0.2">
      <c r="B4" s="1"/>
      <c r="C4" s="1"/>
      <c r="D4" s="1"/>
      <c r="E4" s="161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92" t="s">
        <v>1</v>
      </c>
      <c r="E5" s="193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62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51" t="s">
        <v>43</v>
      </c>
      <c r="B8" s="152"/>
      <c r="C8" s="152"/>
      <c r="D8" s="152"/>
      <c r="E8" s="163"/>
      <c r="F8" s="152"/>
      <c r="G8" s="153">
        <v>2000</v>
      </c>
    </row>
    <row r="9" spans="1:7" x14ac:dyDescent="0.2">
      <c r="A9" s="151" t="s">
        <v>44</v>
      </c>
      <c r="B9" s="152"/>
      <c r="C9" s="152"/>
      <c r="D9" s="152"/>
      <c r="E9" s="163"/>
      <c r="F9" s="152"/>
      <c r="G9" s="153">
        <v>4000</v>
      </c>
    </row>
    <row r="10" spans="1:7" x14ac:dyDescent="0.2">
      <c r="A10" s="151" t="s">
        <v>45</v>
      </c>
      <c r="B10" s="152"/>
      <c r="C10" s="152"/>
      <c r="D10" s="152"/>
      <c r="E10" s="163"/>
      <c r="F10" s="152"/>
      <c r="G10" s="153">
        <v>8000</v>
      </c>
    </row>
    <row r="11" spans="1:7" x14ac:dyDescent="0.2">
      <c r="A11" s="151" t="s">
        <v>46</v>
      </c>
      <c r="B11" s="152"/>
      <c r="C11" s="152"/>
      <c r="D11" s="152"/>
      <c r="E11" s="163"/>
      <c r="F11" s="152"/>
      <c r="G11" s="153">
        <v>14000</v>
      </c>
    </row>
    <row r="12" spans="1:7" x14ac:dyDescent="0.2">
      <c r="A12" s="151" t="s">
        <v>47</v>
      </c>
      <c r="B12" s="152"/>
      <c r="C12" s="152"/>
      <c r="D12" s="152"/>
      <c r="E12" s="163"/>
      <c r="F12" s="152"/>
      <c r="G12" s="153">
        <v>29000</v>
      </c>
    </row>
    <row r="13" spans="1:7" x14ac:dyDescent="0.2">
      <c r="A13" s="151" t="s">
        <v>48</v>
      </c>
      <c r="B13" s="152"/>
      <c r="C13" s="152"/>
      <c r="D13" s="152"/>
      <c r="E13" s="163"/>
      <c r="F13" s="152"/>
      <c r="G13" s="153">
        <v>55000</v>
      </c>
    </row>
    <row r="14" spans="1:7" x14ac:dyDescent="0.2">
      <c r="A14" s="151" t="s">
        <v>49</v>
      </c>
      <c r="B14" s="152"/>
      <c r="C14" s="152"/>
      <c r="D14" s="152"/>
      <c r="E14" s="163"/>
      <c r="F14" s="152"/>
      <c r="G14" s="153">
        <v>108000</v>
      </c>
    </row>
    <row r="15" spans="1:7" x14ac:dyDescent="0.2">
      <c r="A15" s="151" t="s">
        <v>50</v>
      </c>
      <c r="B15" s="152"/>
      <c r="C15" s="152"/>
      <c r="D15" s="152"/>
      <c r="E15" s="163"/>
      <c r="F15" s="152"/>
      <c r="G15" s="153">
        <v>177000</v>
      </c>
    </row>
    <row r="16" spans="1:7" x14ac:dyDescent="0.2">
      <c r="A16" s="151" t="s">
        <v>51</v>
      </c>
      <c r="B16" s="152"/>
      <c r="C16" s="152"/>
      <c r="D16" s="152"/>
      <c r="E16" s="163"/>
      <c r="F16" s="152"/>
      <c r="G16" s="153">
        <v>289000</v>
      </c>
    </row>
    <row r="17" spans="1:11" x14ac:dyDescent="0.2">
      <c r="A17" s="151" t="s">
        <v>52</v>
      </c>
      <c r="B17" s="152"/>
      <c r="C17" s="152"/>
      <c r="D17" s="152"/>
      <c r="E17" s="163"/>
      <c r="F17" s="152"/>
      <c r="G17" s="153">
        <v>523000</v>
      </c>
    </row>
    <row r="18" spans="1:11" x14ac:dyDescent="0.2">
      <c r="A18" s="151" t="s">
        <v>53</v>
      </c>
      <c r="B18" s="152"/>
      <c r="C18" s="152"/>
      <c r="D18" s="152">
        <v>136841</v>
      </c>
      <c r="E18" s="163"/>
      <c r="F18" s="152"/>
      <c r="G18" s="153">
        <v>975724</v>
      </c>
    </row>
    <row r="19" spans="1:11" x14ac:dyDescent="0.2">
      <c r="A19" s="151" t="s">
        <v>42</v>
      </c>
      <c r="B19" s="152"/>
      <c r="C19" s="152"/>
      <c r="D19" s="152">
        <v>502996</v>
      </c>
      <c r="E19" s="163"/>
      <c r="F19" s="152"/>
      <c r="G19" s="153">
        <v>2480950</v>
      </c>
    </row>
    <row r="20" spans="1:11" ht="20.100000000000001" customHeight="1" outlineLevel="1" x14ac:dyDescent="0.2">
      <c r="A20" s="170">
        <v>29952</v>
      </c>
      <c r="B20" s="154">
        <f t="shared" ref="B20:B31" si="0">(B33/G33)*G20</f>
        <v>238234.14087574635</v>
      </c>
      <c r="C20" s="154">
        <v>261523.14087574635</v>
      </c>
      <c r="D20" s="155">
        <v>-23289</v>
      </c>
      <c r="E20" s="164">
        <f t="shared" ref="E20:E31" si="1">D20/G19*100</f>
        <v>-0.93871299300671107</v>
      </c>
      <c r="F20" s="155">
        <f t="shared" ref="F20:F31" si="2">(G20-G19)-D20</f>
        <v>417103</v>
      </c>
      <c r="G20" s="155">
        <v>2874764</v>
      </c>
      <c r="H20" s="8"/>
      <c r="I20" s="1" t="s">
        <v>110</v>
      </c>
      <c r="J20" s="1" t="s">
        <v>111</v>
      </c>
      <c r="K20" s="1" t="s">
        <v>113</v>
      </c>
    </row>
    <row r="21" spans="1:11" outlineLevel="1" x14ac:dyDescent="0.2">
      <c r="A21" s="170">
        <v>29983</v>
      </c>
      <c r="B21" s="154">
        <f t="shared" si="0"/>
        <v>224079.97000726408</v>
      </c>
      <c r="C21" s="154">
        <v>161175.97000726408</v>
      </c>
      <c r="D21" s="155">
        <v>62904</v>
      </c>
      <c r="E21" s="164">
        <f t="shared" si="1"/>
        <v>2.1881448355412827</v>
      </c>
      <c r="F21" s="155">
        <f t="shared" si="2"/>
        <v>0</v>
      </c>
      <c r="G21" s="155">
        <v>2937668</v>
      </c>
      <c r="H21" s="8"/>
      <c r="I21" s="1" t="s">
        <v>110</v>
      </c>
      <c r="J21" s="1" t="s">
        <v>111</v>
      </c>
      <c r="K21" s="1" t="s">
        <v>113</v>
      </c>
    </row>
    <row r="22" spans="1:11" outlineLevel="1" x14ac:dyDescent="0.2">
      <c r="A22" s="170">
        <v>30011</v>
      </c>
      <c r="B22" s="154">
        <f t="shared" si="0"/>
        <v>247218.80717606266</v>
      </c>
      <c r="C22" s="154">
        <v>118662.80717606266</v>
      </c>
      <c r="D22" s="155">
        <v>128556</v>
      </c>
      <c r="E22" s="164">
        <f t="shared" si="1"/>
        <v>4.3761241910249895</v>
      </c>
      <c r="F22" s="155">
        <f t="shared" si="2"/>
        <v>0</v>
      </c>
      <c r="G22" s="155">
        <v>3066224</v>
      </c>
      <c r="H22" s="8"/>
      <c r="I22" s="1" t="s">
        <v>110</v>
      </c>
      <c r="J22" s="1" t="s">
        <v>111</v>
      </c>
      <c r="K22" s="1" t="s">
        <v>113</v>
      </c>
    </row>
    <row r="23" spans="1:11" outlineLevel="1" x14ac:dyDescent="0.2">
      <c r="A23" s="170">
        <v>30042</v>
      </c>
      <c r="B23" s="154">
        <f t="shared" si="0"/>
        <v>264925.03015440673</v>
      </c>
      <c r="C23" s="154">
        <v>378395.03015440673</v>
      </c>
      <c r="D23" s="155">
        <v>-113470</v>
      </c>
      <c r="E23" s="164">
        <f t="shared" si="1"/>
        <v>-3.7006428754063632</v>
      </c>
      <c r="F23" s="155">
        <f t="shared" si="2"/>
        <v>485995</v>
      </c>
      <c r="G23" s="155">
        <v>3438749</v>
      </c>
      <c r="H23" s="8"/>
      <c r="I23" s="1" t="s">
        <v>110</v>
      </c>
      <c r="J23" s="1" t="s">
        <v>111</v>
      </c>
      <c r="K23" s="1" t="s">
        <v>113</v>
      </c>
    </row>
    <row r="24" spans="1:11" outlineLevel="1" x14ac:dyDescent="0.2">
      <c r="A24" s="170">
        <v>30072</v>
      </c>
      <c r="B24" s="154">
        <f t="shared" si="0"/>
        <v>227636.31596993457</v>
      </c>
      <c r="C24" s="154">
        <v>137201.31596993457</v>
      </c>
      <c r="D24" s="155">
        <v>90435</v>
      </c>
      <c r="E24" s="164">
        <f t="shared" si="1"/>
        <v>2.6298808083986356</v>
      </c>
      <c r="F24" s="155">
        <f t="shared" si="2"/>
        <v>0</v>
      </c>
      <c r="G24" s="155">
        <v>3529184</v>
      </c>
      <c r="H24" s="8"/>
      <c r="I24" s="1" t="s">
        <v>110</v>
      </c>
      <c r="J24" s="1" t="s">
        <v>111</v>
      </c>
      <c r="K24" s="1" t="s">
        <v>113</v>
      </c>
    </row>
    <row r="25" spans="1:11" outlineLevel="1" x14ac:dyDescent="0.2">
      <c r="A25" s="170">
        <v>30103</v>
      </c>
      <c r="B25" s="154">
        <f t="shared" si="0"/>
        <v>319538.86729067174</v>
      </c>
      <c r="C25" s="154">
        <v>154799.86729067174</v>
      </c>
      <c r="D25" s="155">
        <v>164739</v>
      </c>
      <c r="E25" s="164">
        <f t="shared" si="1"/>
        <v>4.6679062355490668</v>
      </c>
      <c r="F25" s="155">
        <f t="shared" si="2"/>
        <v>0</v>
      </c>
      <c r="G25" s="155">
        <v>3693923</v>
      </c>
      <c r="H25" s="8"/>
      <c r="I25" s="1" t="s">
        <v>110</v>
      </c>
      <c r="J25" s="1" t="s">
        <v>111</v>
      </c>
      <c r="K25" s="1" t="s">
        <v>113</v>
      </c>
    </row>
    <row r="26" spans="1:11" outlineLevel="1" x14ac:dyDescent="0.2">
      <c r="A26" s="170">
        <v>30133</v>
      </c>
      <c r="B26" s="154">
        <f t="shared" si="0"/>
        <v>396887.73907521053</v>
      </c>
      <c r="C26" s="154">
        <v>496230.73907521053</v>
      </c>
      <c r="D26" s="155">
        <v>-99343</v>
      </c>
      <c r="E26" s="164">
        <f t="shared" si="1"/>
        <v>-2.6893630430304043</v>
      </c>
      <c r="F26" s="155">
        <f t="shared" si="2"/>
        <v>642432</v>
      </c>
      <c r="G26" s="155">
        <v>4237012</v>
      </c>
      <c r="H26" s="8"/>
      <c r="I26" s="1" t="s">
        <v>110</v>
      </c>
      <c r="J26" s="1" t="s">
        <v>111</v>
      </c>
      <c r="K26" s="1" t="s">
        <v>113</v>
      </c>
    </row>
    <row r="27" spans="1:11" outlineLevel="1" x14ac:dyDescent="0.2">
      <c r="A27" s="170">
        <v>30164</v>
      </c>
      <c r="B27" s="154">
        <f t="shared" si="0"/>
        <v>435464.39303754212</v>
      </c>
      <c r="C27" s="154">
        <v>300647.39303754212</v>
      </c>
      <c r="D27" s="155">
        <v>134817</v>
      </c>
      <c r="E27" s="164">
        <f t="shared" si="1"/>
        <v>3.1818885573135032</v>
      </c>
      <c r="F27" s="155">
        <f t="shared" si="2"/>
        <v>0</v>
      </c>
      <c r="G27" s="155">
        <v>4371829</v>
      </c>
      <c r="H27" s="8"/>
      <c r="I27" s="1" t="s">
        <v>110</v>
      </c>
      <c r="J27" s="1" t="s">
        <v>111</v>
      </c>
      <c r="K27" s="1" t="s">
        <v>113</v>
      </c>
    </row>
    <row r="28" spans="1:11" outlineLevel="1" x14ac:dyDescent="0.2">
      <c r="A28" s="170">
        <v>30195</v>
      </c>
      <c r="B28" s="154">
        <f t="shared" si="0"/>
        <v>450126.847392825</v>
      </c>
      <c r="C28" s="154">
        <v>235289.847392825</v>
      </c>
      <c r="D28" s="155">
        <v>214837</v>
      </c>
      <c r="E28" s="164">
        <f t="shared" si="1"/>
        <v>4.9141217554483489</v>
      </c>
      <c r="F28" s="155">
        <f t="shared" si="2"/>
        <v>0</v>
      </c>
      <c r="G28" s="155">
        <v>4586666</v>
      </c>
      <c r="H28" s="8"/>
      <c r="I28" s="1" t="s">
        <v>110</v>
      </c>
      <c r="J28" s="1" t="s">
        <v>111</v>
      </c>
      <c r="K28" s="1" t="s">
        <v>113</v>
      </c>
    </row>
    <row r="29" spans="1:11" outlineLevel="1" x14ac:dyDescent="0.2">
      <c r="A29" s="170">
        <v>30225</v>
      </c>
      <c r="B29" s="154">
        <f t="shared" si="0"/>
        <v>553765.8620737209</v>
      </c>
      <c r="C29" s="154">
        <v>796711.8620737209</v>
      </c>
      <c r="D29" s="155">
        <v>-242946</v>
      </c>
      <c r="E29" s="164">
        <f t="shared" si="1"/>
        <v>-5.2967885605797331</v>
      </c>
      <c r="F29" s="155">
        <f t="shared" si="2"/>
        <v>957944</v>
      </c>
      <c r="G29" s="155">
        <v>5301664</v>
      </c>
      <c r="H29" s="8"/>
      <c r="I29" s="1" t="s">
        <v>110</v>
      </c>
      <c r="J29" s="1" t="s">
        <v>111</v>
      </c>
      <c r="K29" s="1" t="s">
        <v>113</v>
      </c>
    </row>
    <row r="30" spans="1:11" outlineLevel="1" x14ac:dyDescent="0.2">
      <c r="A30" s="170">
        <v>30256</v>
      </c>
      <c r="B30" s="154">
        <f t="shared" si="0"/>
        <v>534026.73674633808</v>
      </c>
      <c r="C30" s="154">
        <v>416365.73674633808</v>
      </c>
      <c r="D30" s="155">
        <v>117661</v>
      </c>
      <c r="E30" s="164">
        <f t="shared" si="1"/>
        <v>2.2193220845379868</v>
      </c>
      <c r="F30" s="155">
        <f t="shared" si="2"/>
        <v>0</v>
      </c>
      <c r="G30" s="155">
        <v>5419325</v>
      </c>
      <c r="H30" s="8"/>
      <c r="I30" s="1" t="s">
        <v>110</v>
      </c>
      <c r="J30" s="1" t="s">
        <v>111</v>
      </c>
      <c r="K30" s="1" t="s">
        <v>113</v>
      </c>
    </row>
    <row r="31" spans="1:11" outlineLevel="1" x14ac:dyDescent="0.2">
      <c r="A31" s="170">
        <v>30286</v>
      </c>
      <c r="B31" s="154">
        <f t="shared" si="0"/>
        <v>536215.49868563598</v>
      </c>
      <c r="C31" s="154">
        <v>255281.49868563598</v>
      </c>
      <c r="D31" s="155">
        <v>280934</v>
      </c>
      <c r="E31" s="164">
        <f t="shared" si="1"/>
        <v>5.1839297329464458</v>
      </c>
      <c r="F31" s="155">
        <f t="shared" si="2"/>
        <v>0</v>
      </c>
      <c r="G31" s="155">
        <v>5700259</v>
      </c>
      <c r="H31" s="8"/>
      <c r="I31" s="1" t="s">
        <v>110</v>
      </c>
      <c r="J31" s="1" t="s">
        <v>111</v>
      </c>
      <c r="K31" s="1" t="s">
        <v>113</v>
      </c>
    </row>
    <row r="32" spans="1:11" x14ac:dyDescent="0.2">
      <c r="A32" s="151" t="s">
        <v>17</v>
      </c>
      <c r="B32" s="152">
        <f>SUM(B20:B31)</f>
        <v>4428120.2084853593</v>
      </c>
      <c r="C32" s="152">
        <f>SUM(C20:C31)</f>
        <v>3712285.2084853593</v>
      </c>
      <c r="D32" s="152">
        <f>SUM(D20:D31)</f>
        <v>715835</v>
      </c>
      <c r="E32" s="163">
        <f>(D32/G19*100)</f>
        <v>28.853261855337674</v>
      </c>
      <c r="F32" s="152">
        <f>SUM(F20:F31)</f>
        <v>2503474</v>
      </c>
      <c r="G32" s="153">
        <f>G31</f>
        <v>5700259</v>
      </c>
      <c r="I32" s="1" t="s">
        <v>110</v>
      </c>
      <c r="J32" s="1" t="s">
        <v>111</v>
      </c>
      <c r="K32" s="1" t="s">
        <v>113</v>
      </c>
    </row>
    <row r="33" spans="1:11" ht="20.100000000000001" customHeight="1" outlineLevel="1" x14ac:dyDescent="0.2">
      <c r="A33" s="170">
        <v>30317</v>
      </c>
      <c r="B33" s="154">
        <f t="shared" ref="B33:B44" si="3">(B46/G46)*G33</f>
        <v>548239.24576056167</v>
      </c>
      <c r="C33" s="154">
        <v>841763.24576056167</v>
      </c>
      <c r="D33" s="155">
        <v>-293524</v>
      </c>
      <c r="E33" s="164">
        <f>D33/G31*100</f>
        <v>-5.1493098822351762</v>
      </c>
      <c r="F33" s="155">
        <f>(G33-G31)-D33</f>
        <v>1208851</v>
      </c>
      <c r="G33" s="155">
        <v>6615586</v>
      </c>
      <c r="H33" s="8"/>
      <c r="I33" s="1" t="s">
        <v>110</v>
      </c>
      <c r="J33" s="1" t="s">
        <v>111</v>
      </c>
      <c r="K33" s="1" t="s">
        <v>113</v>
      </c>
    </row>
    <row r="34" spans="1:11" outlineLevel="1" x14ac:dyDescent="0.2">
      <c r="A34" s="170">
        <v>30348</v>
      </c>
      <c r="B34" s="154">
        <f t="shared" si="3"/>
        <v>511896.23325759027</v>
      </c>
      <c r="C34" s="154">
        <v>416569.23325759027</v>
      </c>
      <c r="D34" s="155">
        <v>95327</v>
      </c>
      <c r="E34" s="164">
        <f t="shared" ref="E34:E44" si="4">D34/G33*100</f>
        <v>1.4409456698167025</v>
      </c>
      <c r="F34" s="155">
        <f t="shared" ref="F34:F44" si="5">(G34-G33)-D34</f>
        <v>0</v>
      </c>
      <c r="G34" s="155">
        <v>6710913</v>
      </c>
      <c r="H34" s="8"/>
      <c r="I34" s="1" t="s">
        <v>110</v>
      </c>
      <c r="J34" s="1" t="s">
        <v>111</v>
      </c>
      <c r="K34" s="1" t="s">
        <v>113</v>
      </c>
    </row>
    <row r="35" spans="1:11" outlineLevel="1" x14ac:dyDescent="0.2">
      <c r="A35" s="170">
        <v>30376</v>
      </c>
      <c r="B35" s="154">
        <f t="shared" si="3"/>
        <v>558100.51432376483</v>
      </c>
      <c r="C35" s="154">
        <v>346962.51432376483</v>
      </c>
      <c r="D35" s="155">
        <v>211138</v>
      </c>
      <c r="E35" s="164">
        <f t="shared" si="4"/>
        <v>3.1461889015697269</v>
      </c>
      <c r="F35" s="155">
        <f t="shared" si="5"/>
        <v>0</v>
      </c>
      <c r="G35" s="155">
        <v>6922051</v>
      </c>
      <c r="H35" s="8"/>
      <c r="I35" s="1" t="s">
        <v>110</v>
      </c>
      <c r="J35" s="1" t="s">
        <v>111</v>
      </c>
      <c r="K35" s="1" t="s">
        <v>113</v>
      </c>
    </row>
    <row r="36" spans="1:11" outlineLevel="1" x14ac:dyDescent="0.2">
      <c r="A36" s="170">
        <v>30407</v>
      </c>
      <c r="B36" s="154">
        <f t="shared" si="3"/>
        <v>625943.58733322029</v>
      </c>
      <c r="C36" s="154">
        <v>960448.58733322029</v>
      </c>
      <c r="D36" s="155">
        <v>-334505</v>
      </c>
      <c r="E36" s="164">
        <f t="shared" si="4"/>
        <v>-4.8324550050266897</v>
      </c>
      <c r="F36" s="155">
        <f t="shared" si="5"/>
        <v>1537254</v>
      </c>
      <c r="G36" s="155">
        <v>8124800</v>
      </c>
      <c r="H36" s="8"/>
      <c r="I36" s="1" t="s">
        <v>110</v>
      </c>
      <c r="J36" s="1" t="s">
        <v>111</v>
      </c>
      <c r="K36" s="1" t="s">
        <v>113</v>
      </c>
    </row>
    <row r="37" spans="1:11" outlineLevel="1" x14ac:dyDescent="0.2">
      <c r="A37" s="170">
        <v>30437</v>
      </c>
      <c r="B37" s="154">
        <f t="shared" si="3"/>
        <v>533873.75964453921</v>
      </c>
      <c r="C37" s="154">
        <v>381704.75964453921</v>
      </c>
      <c r="D37" s="155">
        <v>152169</v>
      </c>
      <c r="E37" s="164">
        <f t="shared" si="4"/>
        <v>1.8728953328081923</v>
      </c>
      <c r="F37" s="155">
        <f t="shared" si="5"/>
        <v>0</v>
      </c>
      <c r="G37" s="155">
        <v>8276969</v>
      </c>
      <c r="H37" s="8"/>
      <c r="I37" s="1" t="s">
        <v>110</v>
      </c>
      <c r="J37" s="1" t="s">
        <v>111</v>
      </c>
      <c r="K37" s="1" t="s">
        <v>113</v>
      </c>
    </row>
    <row r="38" spans="1:11" outlineLevel="1" x14ac:dyDescent="0.2">
      <c r="A38" s="170">
        <v>30468</v>
      </c>
      <c r="B38" s="154">
        <f t="shared" si="3"/>
        <v>740470.55139182042</v>
      </c>
      <c r="C38" s="154">
        <v>457475.55139182042</v>
      </c>
      <c r="D38" s="155">
        <v>282995</v>
      </c>
      <c r="E38" s="164">
        <f t="shared" si="4"/>
        <v>3.4190656023962394</v>
      </c>
      <c r="F38" s="155">
        <f t="shared" si="5"/>
        <v>0</v>
      </c>
      <c r="G38" s="155">
        <v>8559964</v>
      </c>
      <c r="H38" s="8"/>
      <c r="I38" s="1" t="s">
        <v>110</v>
      </c>
      <c r="J38" s="1" t="s">
        <v>111</v>
      </c>
      <c r="K38" s="1" t="s">
        <v>113</v>
      </c>
    </row>
    <row r="39" spans="1:11" outlineLevel="1" x14ac:dyDescent="0.2">
      <c r="A39" s="170">
        <v>30498</v>
      </c>
      <c r="B39" s="154">
        <f t="shared" si="3"/>
        <v>945127.16308258881</v>
      </c>
      <c r="C39" s="154">
        <v>1538270.1630825889</v>
      </c>
      <c r="D39" s="155">
        <v>-593143</v>
      </c>
      <c r="E39" s="164">
        <f t="shared" si="4"/>
        <v>-6.9292697959944691</v>
      </c>
      <c r="F39" s="155">
        <f t="shared" si="5"/>
        <v>2122972</v>
      </c>
      <c r="G39" s="155">
        <v>10089793</v>
      </c>
      <c r="H39" s="8"/>
      <c r="I39" s="1" t="s">
        <v>110</v>
      </c>
      <c r="J39" s="1" t="s">
        <v>111</v>
      </c>
      <c r="K39" s="1" t="s">
        <v>113</v>
      </c>
    </row>
    <row r="40" spans="1:11" outlineLevel="1" x14ac:dyDescent="0.2">
      <c r="A40" s="170">
        <v>30529</v>
      </c>
      <c r="B40" s="154">
        <f t="shared" si="3"/>
        <v>1186229.3908051171</v>
      </c>
      <c r="C40" s="154">
        <v>269024.39080511709</v>
      </c>
      <c r="D40" s="155">
        <v>917205</v>
      </c>
      <c r="E40" s="164">
        <f t="shared" si="4"/>
        <v>9.0904243526106026</v>
      </c>
      <c r="F40" s="155">
        <f t="shared" si="5"/>
        <v>902109</v>
      </c>
      <c r="G40" s="155">
        <v>11909107</v>
      </c>
      <c r="H40" s="8"/>
      <c r="I40" s="1" t="s">
        <v>110</v>
      </c>
      <c r="J40" s="1" t="s">
        <v>111</v>
      </c>
      <c r="K40" s="1" t="s">
        <v>113</v>
      </c>
    </row>
    <row r="41" spans="1:11" outlineLevel="1" x14ac:dyDescent="0.2">
      <c r="A41" s="170">
        <v>30560</v>
      </c>
      <c r="B41" s="154">
        <f t="shared" si="3"/>
        <v>1315353.1771502388</v>
      </c>
      <c r="C41" s="154">
        <v>926180.17715023877</v>
      </c>
      <c r="D41" s="155">
        <v>389173</v>
      </c>
      <c r="E41" s="164">
        <f t="shared" si="4"/>
        <v>3.2678604701427236</v>
      </c>
      <c r="F41" s="155">
        <f t="shared" si="5"/>
        <v>1104799</v>
      </c>
      <c r="G41" s="155">
        <v>13403079</v>
      </c>
      <c r="H41" s="8"/>
      <c r="I41" s="1" t="s">
        <v>110</v>
      </c>
      <c r="J41" s="1" t="s">
        <v>111</v>
      </c>
      <c r="K41" s="1" t="s">
        <v>113</v>
      </c>
    </row>
    <row r="42" spans="1:11" outlineLevel="1" x14ac:dyDescent="0.2">
      <c r="A42" s="170">
        <v>30590</v>
      </c>
      <c r="B42" s="154">
        <f t="shared" si="3"/>
        <v>1580049.7004861382</v>
      </c>
      <c r="C42" s="154">
        <v>1114578.7004861382</v>
      </c>
      <c r="D42" s="155">
        <v>465471</v>
      </c>
      <c r="E42" s="164">
        <f t="shared" si="4"/>
        <v>3.4728661973864363</v>
      </c>
      <c r="F42" s="155">
        <f t="shared" si="5"/>
        <v>1258588</v>
      </c>
      <c r="G42" s="155">
        <v>15127138</v>
      </c>
      <c r="H42" s="8"/>
      <c r="I42" s="1" t="s">
        <v>110</v>
      </c>
      <c r="J42" s="1" t="s">
        <v>111</v>
      </c>
      <c r="K42" s="1" t="s">
        <v>113</v>
      </c>
    </row>
    <row r="43" spans="1:11" outlineLevel="1" x14ac:dyDescent="0.2">
      <c r="A43" s="170">
        <v>30621</v>
      </c>
      <c r="B43" s="154">
        <f t="shared" si="3"/>
        <v>1662790.2551594754</v>
      </c>
      <c r="C43" s="154">
        <v>1400560.2551594754</v>
      </c>
      <c r="D43" s="155">
        <v>262230</v>
      </c>
      <c r="E43" s="164">
        <f t="shared" si="4"/>
        <v>1.7335070255854081</v>
      </c>
      <c r="F43" s="155">
        <f t="shared" si="5"/>
        <v>1484695</v>
      </c>
      <c r="G43" s="155">
        <v>16874063</v>
      </c>
      <c r="H43" s="8"/>
      <c r="I43" s="1" t="s">
        <v>110</v>
      </c>
      <c r="J43" s="1" t="s">
        <v>111</v>
      </c>
      <c r="K43" s="1" t="s">
        <v>113</v>
      </c>
    </row>
    <row r="44" spans="1:11" outlineLevel="1" x14ac:dyDescent="0.2">
      <c r="A44" s="170">
        <v>30651</v>
      </c>
      <c r="B44" s="154">
        <f t="shared" si="3"/>
        <v>1708984.2253390406</v>
      </c>
      <c r="C44" s="154">
        <v>1727705.2253390406</v>
      </c>
      <c r="D44" s="155">
        <v>-18721</v>
      </c>
      <c r="E44" s="164">
        <f t="shared" si="4"/>
        <v>-0.11094541960641015</v>
      </c>
      <c r="F44" s="155">
        <f t="shared" si="5"/>
        <v>1312079</v>
      </c>
      <c r="G44" s="155">
        <v>18167421</v>
      </c>
      <c r="H44" s="8"/>
      <c r="I44" s="1" t="s">
        <v>110</v>
      </c>
      <c r="J44" s="1" t="s">
        <v>111</v>
      </c>
      <c r="K44" s="1" t="s">
        <v>113</v>
      </c>
    </row>
    <row r="45" spans="1:11" x14ac:dyDescent="0.2">
      <c r="A45" s="151" t="s">
        <v>18</v>
      </c>
      <c r="B45" s="152">
        <f>SUM(B33:B44)</f>
        <v>11917057.803734094</v>
      </c>
      <c r="C45" s="152">
        <f>SUM(C33:C44)</f>
        <v>10381242.803734096</v>
      </c>
      <c r="D45" s="152">
        <f>SUM(D33:D44)</f>
        <v>1535815</v>
      </c>
      <c r="E45" s="163">
        <f>(D45/G32*100)</f>
        <v>26.942898559521595</v>
      </c>
      <c r="F45" s="152">
        <f>SUM(F33:F44)</f>
        <v>10931347</v>
      </c>
      <c r="G45" s="153">
        <f>G44</f>
        <v>18167421</v>
      </c>
      <c r="I45" s="1" t="s">
        <v>110</v>
      </c>
      <c r="J45" s="1" t="s">
        <v>111</v>
      </c>
      <c r="K45" s="1" t="s">
        <v>113</v>
      </c>
    </row>
    <row r="46" spans="1:11" ht="20.100000000000001" customHeight="1" outlineLevel="1" x14ac:dyDescent="0.2">
      <c r="A46" s="170">
        <v>30682</v>
      </c>
      <c r="B46" s="154">
        <v>1630485</v>
      </c>
      <c r="C46" s="154">
        <v>1541240</v>
      </c>
      <c r="D46" s="155">
        <v>89245</v>
      </c>
      <c r="E46" s="164">
        <f>D46/G44*100</f>
        <v>0.49123648315300228</v>
      </c>
      <c r="F46" s="155">
        <f>(G46-G44)-D46</f>
        <v>1418346</v>
      </c>
      <c r="G46" s="155">
        <v>19675012</v>
      </c>
      <c r="H46" s="8"/>
      <c r="I46" s="1" t="s">
        <v>110</v>
      </c>
      <c r="J46" s="1" t="s">
        <v>111</v>
      </c>
      <c r="K46" s="1" t="s">
        <v>113</v>
      </c>
    </row>
    <row r="47" spans="1:11" outlineLevel="1" x14ac:dyDescent="0.2">
      <c r="A47" s="170">
        <v>30713</v>
      </c>
      <c r="B47" s="154">
        <v>1650612</v>
      </c>
      <c r="C47" s="154">
        <v>1604467</v>
      </c>
      <c r="D47" s="155">
        <v>46145</v>
      </c>
      <c r="E47" s="164">
        <f t="shared" ref="E47:E57" si="6">D47/G46*100</f>
        <v>0.23453607042272706</v>
      </c>
      <c r="F47" s="155">
        <f t="shared" ref="F47:F57" si="7">(G47-G46)-D47</f>
        <v>1918216</v>
      </c>
      <c r="G47" s="155">
        <v>21639373</v>
      </c>
      <c r="H47" s="8"/>
      <c r="I47" s="1" t="s">
        <v>110</v>
      </c>
      <c r="J47" s="1" t="s">
        <v>111</v>
      </c>
      <c r="K47" s="1" t="s">
        <v>113</v>
      </c>
    </row>
    <row r="48" spans="1:11" outlineLevel="1" x14ac:dyDescent="0.2">
      <c r="A48" s="170">
        <v>30742</v>
      </c>
      <c r="B48" s="154">
        <v>1978958</v>
      </c>
      <c r="C48" s="154">
        <v>1877261</v>
      </c>
      <c r="D48" s="155">
        <v>101697</v>
      </c>
      <c r="E48" s="164">
        <f t="shared" si="6"/>
        <v>0.46996278496608934</v>
      </c>
      <c r="F48" s="155">
        <f t="shared" si="7"/>
        <v>2803699</v>
      </c>
      <c r="G48" s="155">
        <v>24544769</v>
      </c>
      <c r="H48" s="8"/>
      <c r="I48" s="1" t="s">
        <v>110</v>
      </c>
      <c r="J48" s="1" t="s">
        <v>111</v>
      </c>
      <c r="K48" s="1" t="s">
        <v>113</v>
      </c>
    </row>
    <row r="49" spans="1:11" outlineLevel="1" x14ac:dyDescent="0.2">
      <c r="A49" s="170">
        <v>30773</v>
      </c>
      <c r="B49" s="154">
        <v>2069686</v>
      </c>
      <c r="C49" s="154">
        <v>2158194</v>
      </c>
      <c r="D49" s="155">
        <v>-88508</v>
      </c>
      <c r="E49" s="164">
        <f t="shared" si="6"/>
        <v>-0.36059821952286453</v>
      </c>
      <c r="F49" s="155">
        <f t="shared" si="7"/>
        <v>2408436</v>
      </c>
      <c r="G49" s="155">
        <v>26864697</v>
      </c>
      <c r="H49" s="8"/>
      <c r="I49" s="1" t="s">
        <v>110</v>
      </c>
      <c r="J49" s="1" t="s">
        <v>111</v>
      </c>
      <c r="K49" s="1" t="s">
        <v>113</v>
      </c>
    </row>
    <row r="50" spans="1:11" outlineLevel="1" x14ac:dyDescent="0.2">
      <c r="A50" s="170">
        <v>30803</v>
      </c>
      <c r="B50" s="154">
        <v>1874785</v>
      </c>
      <c r="C50" s="154">
        <v>2155937</v>
      </c>
      <c r="D50" s="155">
        <v>-281152</v>
      </c>
      <c r="E50" s="164">
        <f t="shared" si="6"/>
        <v>-1.0465481892462811</v>
      </c>
      <c r="F50" s="155">
        <f t="shared" si="7"/>
        <v>2482385</v>
      </c>
      <c r="G50" s="155">
        <v>29065930</v>
      </c>
      <c r="H50" s="8"/>
      <c r="I50" s="1" t="s">
        <v>110</v>
      </c>
      <c r="J50" s="1" t="s">
        <v>111</v>
      </c>
      <c r="K50" s="1" t="s">
        <v>113</v>
      </c>
    </row>
    <row r="51" spans="1:11" outlineLevel="1" x14ac:dyDescent="0.2">
      <c r="A51" s="170">
        <v>30834</v>
      </c>
      <c r="B51" s="154">
        <v>2687515</v>
      </c>
      <c r="C51" s="154">
        <v>3065307</v>
      </c>
      <c r="D51" s="155">
        <v>-377792</v>
      </c>
      <c r="E51" s="164">
        <f t="shared" si="6"/>
        <v>-1.2997760608382392</v>
      </c>
      <c r="F51" s="155">
        <f t="shared" si="7"/>
        <v>2379987</v>
      </c>
      <c r="G51" s="155">
        <v>31068125</v>
      </c>
      <c r="H51" s="8"/>
      <c r="I51" s="1" t="s">
        <v>110</v>
      </c>
      <c r="J51" s="1" t="s">
        <v>111</v>
      </c>
      <c r="K51" s="1" t="s">
        <v>113</v>
      </c>
    </row>
    <row r="52" spans="1:11" outlineLevel="1" x14ac:dyDescent="0.2">
      <c r="A52" s="170">
        <v>30864</v>
      </c>
      <c r="B52" s="154">
        <v>3230899</v>
      </c>
      <c r="C52" s="154">
        <v>3199392</v>
      </c>
      <c r="D52" s="155">
        <v>31507</v>
      </c>
      <c r="E52" s="164">
        <f t="shared" si="6"/>
        <v>0.10141262145687904</v>
      </c>
      <c r="F52" s="155">
        <f t="shared" si="7"/>
        <v>3392131</v>
      </c>
      <c r="G52" s="155">
        <v>34491763</v>
      </c>
      <c r="H52" s="8"/>
      <c r="I52" s="1" t="s">
        <v>110</v>
      </c>
      <c r="J52" s="1" t="s">
        <v>111</v>
      </c>
      <c r="K52" s="1" t="s">
        <v>113</v>
      </c>
    </row>
    <row r="53" spans="1:11" outlineLevel="1" x14ac:dyDescent="0.2">
      <c r="A53" s="170">
        <v>30895</v>
      </c>
      <c r="B53" s="154">
        <v>3824900</v>
      </c>
      <c r="C53" s="154">
        <v>3282489</v>
      </c>
      <c r="D53" s="155">
        <v>542411</v>
      </c>
      <c r="E53" s="164">
        <f t="shared" si="6"/>
        <v>1.5725812565742145</v>
      </c>
      <c r="F53" s="155">
        <f t="shared" si="7"/>
        <v>3365771</v>
      </c>
      <c r="G53" s="155">
        <v>38399945</v>
      </c>
      <c r="H53" s="8"/>
      <c r="I53" s="1" t="s">
        <v>110</v>
      </c>
      <c r="J53" s="1" t="s">
        <v>111</v>
      </c>
      <c r="K53" s="1" t="s">
        <v>113</v>
      </c>
    </row>
    <row r="54" spans="1:11" outlineLevel="1" x14ac:dyDescent="0.2">
      <c r="A54" s="170">
        <v>30926</v>
      </c>
      <c r="B54" s="154">
        <v>4253901</v>
      </c>
      <c r="C54" s="154">
        <v>3489604</v>
      </c>
      <c r="D54" s="155">
        <v>764297</v>
      </c>
      <c r="E54" s="164">
        <f t="shared" si="6"/>
        <v>1.9903596216088331</v>
      </c>
      <c r="F54" s="155">
        <f t="shared" si="7"/>
        <v>4181813</v>
      </c>
      <c r="G54" s="155">
        <v>43346055</v>
      </c>
      <c r="H54" s="8"/>
      <c r="I54" s="1" t="s">
        <v>110</v>
      </c>
      <c r="J54" s="1" t="s">
        <v>111</v>
      </c>
      <c r="K54" s="1" t="s">
        <v>113</v>
      </c>
    </row>
    <row r="55" spans="1:11" outlineLevel="1" x14ac:dyDescent="0.2">
      <c r="A55" s="170">
        <v>30956</v>
      </c>
      <c r="B55" s="154">
        <v>5106497</v>
      </c>
      <c r="C55" s="154">
        <v>4455207</v>
      </c>
      <c r="D55" s="155">
        <v>651290</v>
      </c>
      <c r="E55" s="164">
        <f t="shared" si="6"/>
        <v>1.5025358132360604</v>
      </c>
      <c r="F55" s="155">
        <f t="shared" si="7"/>
        <v>4891424</v>
      </c>
      <c r="G55" s="155">
        <v>48888769</v>
      </c>
      <c r="H55" s="8"/>
      <c r="I55" s="1" t="s">
        <v>110</v>
      </c>
      <c r="J55" s="1" t="s">
        <v>111</v>
      </c>
      <c r="K55" s="1" t="s">
        <v>113</v>
      </c>
    </row>
    <row r="56" spans="1:11" outlineLevel="1" x14ac:dyDescent="0.2">
      <c r="A56" s="170">
        <v>30987</v>
      </c>
      <c r="B56" s="154">
        <v>5477079</v>
      </c>
      <c r="C56" s="154">
        <v>4840858</v>
      </c>
      <c r="D56" s="155">
        <v>636221</v>
      </c>
      <c r="E56" s="164">
        <f t="shared" si="6"/>
        <v>1.3013643276638853</v>
      </c>
      <c r="F56" s="155">
        <f t="shared" si="7"/>
        <v>6056630</v>
      </c>
      <c r="G56" s="155">
        <v>55581620</v>
      </c>
      <c r="H56" s="8"/>
      <c r="I56" s="1" t="s">
        <v>110</v>
      </c>
      <c r="J56" s="1" t="s">
        <v>111</v>
      </c>
      <c r="K56" s="1" t="s">
        <v>113</v>
      </c>
    </row>
    <row r="57" spans="1:11" outlineLevel="1" x14ac:dyDescent="0.2">
      <c r="A57" s="170">
        <v>31017</v>
      </c>
      <c r="B57" s="154">
        <v>5752306</v>
      </c>
      <c r="C57" s="154">
        <v>5915605</v>
      </c>
      <c r="D57" s="155">
        <v>-163299</v>
      </c>
      <c r="E57" s="164">
        <f t="shared" si="6"/>
        <v>-0.29380036062281023</v>
      </c>
      <c r="F57" s="155">
        <f t="shared" si="7"/>
        <v>5731784</v>
      </c>
      <c r="G57" s="155">
        <v>61150105</v>
      </c>
      <c r="H57" s="8"/>
      <c r="I57" s="1" t="s">
        <v>110</v>
      </c>
      <c r="J57" s="1" t="s">
        <v>111</v>
      </c>
      <c r="K57" s="1" t="s">
        <v>113</v>
      </c>
    </row>
    <row r="58" spans="1:11" x14ac:dyDescent="0.2">
      <c r="A58" s="151" t="s">
        <v>19</v>
      </c>
      <c r="B58" s="152">
        <f>SUM(B46:B57)</f>
        <v>39537623</v>
      </c>
      <c r="C58" s="152">
        <f>SUM(C46:C57)</f>
        <v>37585561</v>
      </c>
      <c r="D58" s="152">
        <f>SUM(D46:D57)</f>
        <v>1952062</v>
      </c>
      <c r="E58" s="163">
        <f>(D58/G45*100)</f>
        <v>10.744849255158451</v>
      </c>
      <c r="F58" s="152">
        <f>SUM(F46:F57)</f>
        <v>41030622</v>
      </c>
      <c r="G58" s="153">
        <f>G57</f>
        <v>61150105</v>
      </c>
      <c r="I58" s="1" t="s">
        <v>110</v>
      </c>
      <c r="J58" s="1" t="s">
        <v>111</v>
      </c>
      <c r="K58" s="1" t="s">
        <v>113</v>
      </c>
    </row>
    <row r="59" spans="1:11" ht="20.100000000000001" customHeight="1" outlineLevel="1" x14ac:dyDescent="0.2">
      <c r="A59" s="170">
        <v>31048</v>
      </c>
      <c r="B59" s="154">
        <v>7241433</v>
      </c>
      <c r="C59" s="154">
        <v>6204665</v>
      </c>
      <c r="D59" s="155">
        <v>1036768</v>
      </c>
      <c r="E59" s="164">
        <f>D59/G57*100</f>
        <v>1.6954476202452964</v>
      </c>
      <c r="F59" s="155">
        <f>(G59-G57)-D59</f>
        <v>7373061</v>
      </c>
      <c r="G59" s="155">
        <v>69559934</v>
      </c>
      <c r="H59" s="8"/>
      <c r="I59" s="1" t="s">
        <v>110</v>
      </c>
      <c r="J59" s="1" t="s">
        <v>111</v>
      </c>
      <c r="K59" s="1" t="s">
        <v>113</v>
      </c>
    </row>
    <row r="60" spans="1:11" outlineLevel="1" x14ac:dyDescent="0.2">
      <c r="A60" s="170">
        <v>31079</v>
      </c>
      <c r="B60" s="154">
        <v>7248432</v>
      </c>
      <c r="C60" s="154">
        <v>6974411</v>
      </c>
      <c r="D60" s="155">
        <v>274021</v>
      </c>
      <c r="E60" s="164">
        <f t="shared" ref="E60:E70" si="8">D60/G59*100</f>
        <v>0.39393510637891055</v>
      </c>
      <c r="F60" s="155">
        <f t="shared" ref="F60:F70" si="9">(G60-G59)-D60</f>
        <v>8142879</v>
      </c>
      <c r="G60" s="155">
        <v>77976834</v>
      </c>
      <c r="H60" s="8"/>
      <c r="I60" s="1" t="s">
        <v>110</v>
      </c>
      <c r="J60" s="1" t="s">
        <v>111</v>
      </c>
      <c r="K60" s="1" t="s">
        <v>113</v>
      </c>
    </row>
    <row r="61" spans="1:11" outlineLevel="1" x14ac:dyDescent="0.2">
      <c r="A61" s="170">
        <v>31107</v>
      </c>
      <c r="B61" s="154">
        <v>8149767</v>
      </c>
      <c r="C61" s="154">
        <v>8786361</v>
      </c>
      <c r="D61" s="155">
        <v>-636594</v>
      </c>
      <c r="E61" s="164">
        <f t="shared" si="8"/>
        <v>-0.81638862126667011</v>
      </c>
      <c r="F61" s="155">
        <f t="shared" si="9"/>
        <v>9852217</v>
      </c>
      <c r="G61" s="155">
        <v>87192457</v>
      </c>
      <c r="H61" s="8"/>
      <c r="I61" s="1" t="s">
        <v>110</v>
      </c>
      <c r="J61" s="1" t="s">
        <v>111</v>
      </c>
      <c r="K61" s="1" t="s">
        <v>113</v>
      </c>
    </row>
    <row r="62" spans="1:11" outlineLevel="1" x14ac:dyDescent="0.2">
      <c r="A62" s="170">
        <v>31138</v>
      </c>
      <c r="B62" s="154">
        <v>9502009</v>
      </c>
      <c r="C62" s="154">
        <v>8961478</v>
      </c>
      <c r="D62" s="155">
        <v>540531</v>
      </c>
      <c r="E62" s="164">
        <f t="shared" si="8"/>
        <v>0.61992862524793857</v>
      </c>
      <c r="F62" s="155">
        <f t="shared" si="9"/>
        <v>10695909</v>
      </c>
      <c r="G62" s="155">
        <v>98428897</v>
      </c>
      <c r="H62" s="8"/>
      <c r="I62" s="1" t="s">
        <v>110</v>
      </c>
      <c r="J62" s="1" t="s">
        <v>111</v>
      </c>
      <c r="K62" s="1" t="s">
        <v>113</v>
      </c>
    </row>
    <row r="63" spans="1:11" outlineLevel="1" x14ac:dyDescent="0.2">
      <c r="A63" s="170">
        <v>31168</v>
      </c>
      <c r="B63" s="154">
        <v>9794707</v>
      </c>
      <c r="C63" s="154">
        <v>10289608</v>
      </c>
      <c r="D63" s="155">
        <v>-494901</v>
      </c>
      <c r="E63" s="164">
        <f t="shared" si="8"/>
        <v>-0.50280051395882253</v>
      </c>
      <c r="F63" s="155">
        <f t="shared" si="9"/>
        <v>12623190</v>
      </c>
      <c r="G63" s="155">
        <v>110557186</v>
      </c>
      <c r="H63" s="8"/>
      <c r="I63" s="1" t="s">
        <v>110</v>
      </c>
      <c r="J63" s="1" t="s">
        <v>111</v>
      </c>
      <c r="K63" s="1" t="s">
        <v>113</v>
      </c>
    </row>
    <row r="64" spans="1:11" outlineLevel="1" x14ac:dyDescent="0.2">
      <c r="A64" s="170">
        <v>31199</v>
      </c>
      <c r="B64" s="154">
        <v>9063398</v>
      </c>
      <c r="C64" s="154">
        <v>11417328</v>
      </c>
      <c r="D64" s="155">
        <v>-2353930</v>
      </c>
      <c r="E64" s="164">
        <f t="shared" si="8"/>
        <v>-2.1291515144026913</v>
      </c>
      <c r="F64" s="155">
        <f t="shared" si="9"/>
        <v>11128734</v>
      </c>
      <c r="G64" s="155">
        <v>119331990</v>
      </c>
      <c r="H64" s="8"/>
      <c r="I64" s="1" t="s">
        <v>110</v>
      </c>
      <c r="J64" s="1" t="s">
        <v>111</v>
      </c>
      <c r="K64" s="1" t="s">
        <v>113</v>
      </c>
    </row>
    <row r="65" spans="1:13" outlineLevel="1" x14ac:dyDescent="0.2">
      <c r="A65" s="170">
        <v>31229</v>
      </c>
      <c r="B65" s="154">
        <v>12262257</v>
      </c>
      <c r="C65" s="154">
        <v>15936487</v>
      </c>
      <c r="D65" s="155">
        <v>-3674230</v>
      </c>
      <c r="E65" s="164">
        <f t="shared" si="8"/>
        <v>-3.0789983473836311</v>
      </c>
      <c r="F65" s="155">
        <f t="shared" si="9"/>
        <v>11591056</v>
      </c>
      <c r="G65" s="155">
        <v>127248816</v>
      </c>
      <c r="H65" s="8"/>
      <c r="I65" s="1" t="s">
        <v>110</v>
      </c>
      <c r="J65" s="1" t="s">
        <v>111</v>
      </c>
      <c r="K65" s="1" t="s">
        <v>113</v>
      </c>
    </row>
    <row r="66" spans="1:13" outlineLevel="1" x14ac:dyDescent="0.2">
      <c r="A66" s="170">
        <v>31260</v>
      </c>
      <c r="B66" s="154">
        <v>10476419</v>
      </c>
      <c r="C66" s="154">
        <v>14941776</v>
      </c>
      <c r="D66" s="155">
        <v>-4465357</v>
      </c>
      <c r="E66" s="164">
        <f t="shared" si="8"/>
        <v>-3.5091540655278077</v>
      </c>
      <c r="F66" s="155">
        <f t="shared" si="9"/>
        <v>10014914</v>
      </c>
      <c r="G66" s="155">
        <v>132798373</v>
      </c>
      <c r="H66" s="8"/>
      <c r="I66" s="1" t="s">
        <v>110</v>
      </c>
      <c r="J66" s="1" t="s">
        <v>111</v>
      </c>
      <c r="K66" s="1" t="s">
        <v>113</v>
      </c>
    </row>
    <row r="67" spans="1:13" outlineLevel="1" x14ac:dyDescent="0.2">
      <c r="A67" s="170">
        <v>31291</v>
      </c>
      <c r="B67" s="154">
        <v>18997070</v>
      </c>
      <c r="C67" s="154">
        <v>13232890</v>
      </c>
      <c r="D67" s="155">
        <v>5764180</v>
      </c>
      <c r="E67" s="164">
        <f t="shared" si="8"/>
        <v>4.3405501662283168</v>
      </c>
      <c r="F67" s="155">
        <f t="shared" si="9"/>
        <v>11485552</v>
      </c>
      <c r="G67" s="155">
        <v>150048105</v>
      </c>
      <c r="H67" s="8"/>
      <c r="I67" s="1" t="s">
        <v>110</v>
      </c>
      <c r="J67" s="1" t="s">
        <v>111</v>
      </c>
      <c r="K67" s="1" t="s">
        <v>113</v>
      </c>
    </row>
    <row r="68" spans="1:13" outlineLevel="1" x14ac:dyDescent="0.2">
      <c r="A68" s="170">
        <v>31321</v>
      </c>
      <c r="B68" s="154">
        <v>18941187</v>
      </c>
      <c r="C68" s="154">
        <v>16677655</v>
      </c>
      <c r="D68" s="155">
        <v>2263532</v>
      </c>
      <c r="E68" s="164">
        <f t="shared" si="8"/>
        <v>1.508537545342542</v>
      </c>
      <c r="F68" s="155">
        <f t="shared" si="9"/>
        <v>14697334</v>
      </c>
      <c r="G68" s="155">
        <v>167008971</v>
      </c>
      <c r="H68" s="8"/>
      <c r="I68" s="1" t="s">
        <v>110</v>
      </c>
      <c r="J68" s="1" t="s">
        <v>111</v>
      </c>
      <c r="K68" s="1" t="s">
        <v>113</v>
      </c>
    </row>
    <row r="69" spans="1:13" outlineLevel="1" x14ac:dyDescent="0.2">
      <c r="A69" s="170">
        <v>31352</v>
      </c>
      <c r="B69" s="154">
        <v>20472655</v>
      </c>
      <c r="C69" s="154">
        <v>17935942</v>
      </c>
      <c r="D69" s="155">
        <v>2536713</v>
      </c>
      <c r="E69" s="164">
        <f t="shared" si="8"/>
        <v>1.5189082267922003</v>
      </c>
      <c r="F69" s="155">
        <f t="shared" si="9"/>
        <v>17051687</v>
      </c>
      <c r="G69" s="155">
        <v>186597371</v>
      </c>
      <c r="H69" s="8"/>
      <c r="I69" s="1" t="s">
        <v>110</v>
      </c>
      <c r="J69" s="1" t="s">
        <v>111</v>
      </c>
      <c r="K69" s="1" t="s">
        <v>113</v>
      </c>
    </row>
    <row r="70" spans="1:13" outlineLevel="1" x14ac:dyDescent="0.2">
      <c r="A70" s="170">
        <v>31382</v>
      </c>
      <c r="B70" s="154">
        <v>28478691</v>
      </c>
      <c r="C70" s="154">
        <v>22822801</v>
      </c>
      <c r="D70" s="155">
        <v>5655890</v>
      </c>
      <c r="E70" s="164">
        <f t="shared" si="8"/>
        <v>3.0310662844226246</v>
      </c>
      <c r="F70" s="155">
        <f t="shared" si="9"/>
        <v>24158622</v>
      </c>
      <c r="G70" s="155">
        <v>216411883</v>
      </c>
      <c r="H70" s="8"/>
      <c r="I70" s="1" t="s">
        <v>110</v>
      </c>
      <c r="J70" s="1" t="s">
        <v>111</v>
      </c>
      <c r="K70" s="1" t="s">
        <v>113</v>
      </c>
    </row>
    <row r="71" spans="1:13" x14ac:dyDescent="0.2">
      <c r="A71" s="151" t="s">
        <v>20</v>
      </c>
      <c r="B71" s="152">
        <f>SUM(B59:B70)</f>
        <v>160628025</v>
      </c>
      <c r="C71" s="152">
        <f>SUM(C59:C70)</f>
        <v>154181402</v>
      </c>
      <c r="D71" s="152">
        <f>SUM(D59:D70)</f>
        <v>6446623</v>
      </c>
      <c r="E71" s="163">
        <f>(D71/G58*100)</f>
        <v>10.542292609309502</v>
      </c>
      <c r="F71" s="152">
        <f>SUM(F59:F70)</f>
        <v>148815155</v>
      </c>
      <c r="G71" s="153">
        <f>G70</f>
        <v>216411883</v>
      </c>
      <c r="I71" s="1" t="s">
        <v>110</v>
      </c>
      <c r="J71" s="1" t="s">
        <v>111</v>
      </c>
      <c r="K71" s="1" t="s">
        <v>113</v>
      </c>
    </row>
    <row r="72" spans="1:13" ht="20.100000000000001" customHeight="1" outlineLevel="1" x14ac:dyDescent="0.2">
      <c r="A72" s="170">
        <v>31413</v>
      </c>
      <c r="B72" s="154">
        <v>38777364</v>
      </c>
      <c r="C72" s="154">
        <v>22480542</v>
      </c>
      <c r="D72" s="155">
        <v>16296822</v>
      </c>
      <c r="E72" s="164">
        <f>D72/G70*100</f>
        <v>7.5304654134911804</v>
      </c>
      <c r="F72" s="155">
        <f>(G72-G70)-D72</f>
        <v>26196900</v>
      </c>
      <c r="G72" s="155">
        <v>258905605</v>
      </c>
      <c r="H72" s="8"/>
      <c r="I72" s="1" t="s">
        <v>110</v>
      </c>
      <c r="J72" s="1" t="s">
        <v>111</v>
      </c>
      <c r="K72" s="1" t="s">
        <v>113</v>
      </c>
    </row>
    <row r="73" spans="1:13" outlineLevel="1" x14ac:dyDescent="0.2">
      <c r="A73" s="170">
        <v>31444</v>
      </c>
      <c r="B73" s="154">
        <v>30489808</v>
      </c>
      <c r="C73" s="154">
        <v>24240854</v>
      </c>
      <c r="D73" s="155">
        <v>6248954</v>
      </c>
      <c r="E73" s="164">
        <f>D73/G72*100</f>
        <v>2.4136032126457825</v>
      </c>
      <c r="F73" s="155">
        <f>(G73-G72)-D73</f>
        <v>37532147</v>
      </c>
      <c r="G73" s="155">
        <v>302686706</v>
      </c>
      <c r="H73" s="8"/>
      <c r="I73" s="1" t="s">
        <v>110</v>
      </c>
      <c r="J73" s="1" t="s">
        <v>111</v>
      </c>
      <c r="K73" s="1" t="s">
        <v>113</v>
      </c>
    </row>
    <row r="74" spans="1:13" outlineLevel="1" x14ac:dyDescent="0.2">
      <c r="A74" s="170">
        <v>31472</v>
      </c>
      <c r="B74" s="154">
        <v>21826</v>
      </c>
      <c r="C74" s="154">
        <v>53875</v>
      </c>
      <c r="D74" s="155">
        <v>-32049</v>
      </c>
      <c r="E74" s="164">
        <f>D74/(G73/1000)*100</f>
        <v>-10.588175616804261</v>
      </c>
      <c r="F74" s="155">
        <f>(G74-(G73/1000))-D74</f>
        <v>31491.293999999994</v>
      </c>
      <c r="G74" s="155">
        <v>302129</v>
      </c>
      <c r="H74" s="8"/>
      <c r="I74" s="115" t="s">
        <v>114</v>
      </c>
      <c r="J74" s="115" t="s">
        <v>112</v>
      </c>
      <c r="K74" s="116" t="s">
        <v>113</v>
      </c>
      <c r="M74" s="110"/>
    </row>
    <row r="75" spans="1:13" outlineLevel="1" x14ac:dyDescent="0.2">
      <c r="A75" s="170">
        <v>31503</v>
      </c>
      <c r="B75" s="154">
        <v>15601</v>
      </c>
      <c r="C75" s="154">
        <v>33306</v>
      </c>
      <c r="D75" s="155">
        <v>-17705</v>
      </c>
      <c r="E75" s="164">
        <f t="shared" ref="E75:E83" si="10">D75/G74*100</f>
        <v>-5.860079634857958</v>
      </c>
      <c r="F75" s="155">
        <f t="shared" ref="F75:F83" si="11">(G75-G74)-D75</f>
        <v>283</v>
      </c>
      <c r="G75" s="155">
        <v>284707</v>
      </c>
      <c r="H75" s="8"/>
      <c r="I75" s="8" t="s">
        <v>114</v>
      </c>
      <c r="J75" s="8" t="s">
        <v>112</v>
      </c>
      <c r="K75" s="1" t="s">
        <v>113</v>
      </c>
    </row>
    <row r="76" spans="1:13" outlineLevel="1" x14ac:dyDescent="0.2">
      <c r="A76" s="170">
        <v>31533</v>
      </c>
      <c r="B76" s="154">
        <v>16582</v>
      </c>
      <c r="C76" s="154">
        <v>17304</v>
      </c>
      <c r="D76" s="155">
        <v>-722</v>
      </c>
      <c r="E76" s="164">
        <f t="shared" si="10"/>
        <v>-0.25359404580849787</v>
      </c>
      <c r="F76" s="155">
        <f t="shared" si="11"/>
        <v>67</v>
      </c>
      <c r="G76" s="155">
        <v>284052</v>
      </c>
      <c r="H76" s="8"/>
      <c r="I76" s="8" t="s">
        <v>114</v>
      </c>
      <c r="J76" s="8" t="s">
        <v>112</v>
      </c>
      <c r="K76" s="1" t="s">
        <v>113</v>
      </c>
    </row>
    <row r="77" spans="1:13" outlineLevel="1" x14ac:dyDescent="0.2">
      <c r="A77" s="170">
        <v>31564</v>
      </c>
      <c r="B77" s="154">
        <v>22580</v>
      </c>
      <c r="C77" s="154">
        <v>26373</v>
      </c>
      <c r="D77" s="155">
        <v>-3793</v>
      </c>
      <c r="E77" s="164">
        <f t="shared" si="10"/>
        <v>-1.3353188852745272</v>
      </c>
      <c r="F77" s="155">
        <f t="shared" si="11"/>
        <v>5835</v>
      </c>
      <c r="G77" s="155">
        <v>286094</v>
      </c>
      <c r="H77" s="8"/>
      <c r="I77" s="8" t="s">
        <v>114</v>
      </c>
      <c r="J77" s="8" t="s">
        <v>112</v>
      </c>
      <c r="K77" s="1" t="s">
        <v>113</v>
      </c>
    </row>
    <row r="78" spans="1:13" outlineLevel="1" x14ac:dyDescent="0.2">
      <c r="A78" s="170">
        <v>31594</v>
      </c>
      <c r="B78" s="154">
        <v>26608</v>
      </c>
      <c r="C78" s="154">
        <v>20998</v>
      </c>
      <c r="D78" s="155">
        <v>5610</v>
      </c>
      <c r="E78" s="164">
        <f t="shared" si="10"/>
        <v>1.9608939719113299</v>
      </c>
      <c r="F78" s="155">
        <f t="shared" si="11"/>
        <v>257</v>
      </c>
      <c r="G78" s="155">
        <v>291961</v>
      </c>
      <c r="H78" s="8"/>
      <c r="I78" s="8" t="s">
        <v>114</v>
      </c>
      <c r="J78" s="8" t="s">
        <v>112</v>
      </c>
      <c r="K78" s="1" t="s">
        <v>113</v>
      </c>
    </row>
    <row r="79" spans="1:13" outlineLevel="1" x14ac:dyDescent="0.2">
      <c r="A79" s="170">
        <v>31625</v>
      </c>
      <c r="B79" s="154">
        <v>21905</v>
      </c>
      <c r="C79" s="154">
        <v>17488</v>
      </c>
      <c r="D79" s="155">
        <v>4417</v>
      </c>
      <c r="E79" s="164">
        <f t="shared" si="10"/>
        <v>1.5128732947208703</v>
      </c>
      <c r="F79" s="155">
        <f t="shared" si="11"/>
        <v>277</v>
      </c>
      <c r="G79" s="155">
        <v>296655</v>
      </c>
      <c r="H79" s="8"/>
      <c r="I79" s="8" t="s">
        <v>114</v>
      </c>
      <c r="J79" s="8" t="s">
        <v>112</v>
      </c>
      <c r="K79" s="1" t="s">
        <v>113</v>
      </c>
    </row>
    <row r="80" spans="1:13" outlineLevel="1" x14ac:dyDescent="0.2">
      <c r="A80" s="170">
        <v>31656</v>
      </c>
      <c r="B80" s="154">
        <v>23669</v>
      </c>
      <c r="C80" s="154">
        <v>25130</v>
      </c>
      <c r="D80" s="155">
        <v>-1461</v>
      </c>
      <c r="E80" s="164">
        <f t="shared" si="10"/>
        <v>-0.49249127774687768</v>
      </c>
      <c r="F80" s="155">
        <f t="shared" si="11"/>
        <v>17615</v>
      </c>
      <c r="G80" s="155">
        <v>312809</v>
      </c>
      <c r="H80" s="8"/>
      <c r="I80" s="8" t="s">
        <v>114</v>
      </c>
      <c r="J80" s="8" t="s">
        <v>112</v>
      </c>
      <c r="K80" s="1" t="s">
        <v>113</v>
      </c>
    </row>
    <row r="81" spans="1:18" outlineLevel="1" x14ac:dyDescent="0.2">
      <c r="A81" s="170">
        <v>31686</v>
      </c>
      <c r="B81" s="154">
        <v>23328</v>
      </c>
      <c r="C81" s="154">
        <v>22725</v>
      </c>
      <c r="D81" s="155">
        <v>603</v>
      </c>
      <c r="E81" s="164">
        <f t="shared" si="10"/>
        <v>0.19276938962753631</v>
      </c>
      <c r="F81" s="155">
        <f t="shared" si="11"/>
        <v>1489</v>
      </c>
      <c r="G81" s="155">
        <v>314901</v>
      </c>
      <c r="H81" s="8"/>
      <c r="I81" s="8" t="s">
        <v>114</v>
      </c>
      <c r="J81" s="8" t="s">
        <v>112</v>
      </c>
      <c r="K81" s="1" t="s">
        <v>113</v>
      </c>
    </row>
    <row r="82" spans="1:18" outlineLevel="1" x14ac:dyDescent="0.2">
      <c r="A82" s="170">
        <v>31717</v>
      </c>
      <c r="B82" s="154">
        <v>18513</v>
      </c>
      <c r="C82" s="154">
        <v>19981</v>
      </c>
      <c r="D82" s="155">
        <v>-1468</v>
      </c>
      <c r="E82" s="164">
        <f t="shared" si="10"/>
        <v>-0.46617825919892281</v>
      </c>
      <c r="F82" s="155">
        <f t="shared" si="11"/>
        <v>1948</v>
      </c>
      <c r="G82" s="155">
        <v>315381</v>
      </c>
      <c r="H82" s="8"/>
      <c r="I82" s="8" t="s">
        <v>114</v>
      </c>
      <c r="J82" s="8" t="s">
        <v>112</v>
      </c>
      <c r="K82" s="1" t="s">
        <v>113</v>
      </c>
    </row>
    <row r="83" spans="1:18" outlineLevel="1" x14ac:dyDescent="0.2">
      <c r="A83" s="170">
        <v>31747</v>
      </c>
      <c r="B83" s="154">
        <v>24513</v>
      </c>
      <c r="C83" s="154">
        <v>31984</v>
      </c>
      <c r="D83" s="155">
        <v>-7471</v>
      </c>
      <c r="E83" s="164">
        <f t="shared" si="10"/>
        <v>-2.3688808139995752</v>
      </c>
      <c r="F83" s="155">
        <f t="shared" si="11"/>
        <v>16824</v>
      </c>
      <c r="G83" s="155">
        <v>324734</v>
      </c>
      <c r="H83" s="8"/>
      <c r="I83" s="8" t="s">
        <v>114</v>
      </c>
      <c r="J83" s="8" t="s">
        <v>112</v>
      </c>
      <c r="K83" s="1" t="s">
        <v>113</v>
      </c>
    </row>
    <row r="84" spans="1:18" x14ac:dyDescent="0.2">
      <c r="A84" s="151" t="s">
        <v>21</v>
      </c>
      <c r="B84" s="152">
        <f>SUM(B72:B83)</f>
        <v>69482297</v>
      </c>
      <c r="C84" s="152">
        <f>SUM(C72:C83)</f>
        <v>46990560</v>
      </c>
      <c r="D84" s="152">
        <f>SUM(D72:D83)</f>
        <v>22491737</v>
      </c>
      <c r="E84" s="163">
        <f>(D84/G71*100)</f>
        <v>10.393023104003952</v>
      </c>
      <c r="F84" s="152">
        <f>SUM(F72:F83)</f>
        <v>63805133.294</v>
      </c>
      <c r="G84" s="153">
        <f>G83</f>
        <v>324734</v>
      </c>
      <c r="I84" s="8" t="s">
        <v>114</v>
      </c>
      <c r="J84" s="8" t="s">
        <v>112</v>
      </c>
      <c r="K84" s="1" t="s">
        <v>113</v>
      </c>
    </row>
    <row r="85" spans="1:18" ht="20.100000000000001" customHeight="1" outlineLevel="1" x14ac:dyDescent="0.2">
      <c r="A85" s="170">
        <v>31778</v>
      </c>
      <c r="B85" s="154">
        <v>44271</v>
      </c>
      <c r="C85" s="154">
        <v>26745</v>
      </c>
      <c r="D85" s="155">
        <v>17526</v>
      </c>
      <c r="E85" s="164">
        <f>D85/G83*100</f>
        <v>5.3970326482598061</v>
      </c>
      <c r="F85" s="155">
        <f>(G85-G83)-D85</f>
        <v>29020</v>
      </c>
      <c r="G85" s="155">
        <v>371280</v>
      </c>
      <c r="H85" s="8"/>
      <c r="I85" s="8" t="s">
        <v>114</v>
      </c>
      <c r="J85" s="8" t="s">
        <v>112</v>
      </c>
      <c r="K85" s="1" t="s">
        <v>113</v>
      </c>
      <c r="Q85" s="111">
        <v>13335</v>
      </c>
      <c r="R85" s="112">
        <f t="shared" ref="R85:R96" si="12">Q85/G85</f>
        <v>3.5916289592760178E-2</v>
      </c>
    </row>
    <row r="86" spans="1:18" outlineLevel="1" x14ac:dyDescent="0.2">
      <c r="A86" s="170">
        <v>31809</v>
      </c>
      <c r="B86" s="154">
        <v>63518</v>
      </c>
      <c r="C86" s="154">
        <v>33954</v>
      </c>
      <c r="D86" s="155">
        <v>29564</v>
      </c>
      <c r="E86" s="164">
        <f t="shared" ref="E86:E96" si="13">D86/G85*100</f>
        <v>7.9627235509588443</v>
      </c>
      <c r="F86" s="155">
        <f t="shared" ref="F86:F96" si="14">(G86-G85)-D86</f>
        <v>60150</v>
      </c>
      <c r="G86" s="155">
        <v>460994</v>
      </c>
      <c r="H86" s="8"/>
      <c r="I86" s="8" t="s">
        <v>114</v>
      </c>
      <c r="J86" s="8" t="s">
        <v>112</v>
      </c>
      <c r="K86" s="1" t="s">
        <v>113</v>
      </c>
      <c r="Q86" s="111">
        <v>16774</v>
      </c>
      <c r="R86" s="112">
        <f t="shared" si="12"/>
        <v>3.6386590714846616E-2</v>
      </c>
    </row>
    <row r="87" spans="1:18" outlineLevel="1" x14ac:dyDescent="0.2">
      <c r="A87" s="170">
        <v>31837</v>
      </c>
      <c r="B87" s="154">
        <v>57691</v>
      </c>
      <c r="C87" s="154">
        <v>34154</v>
      </c>
      <c r="D87" s="155">
        <v>23537</v>
      </c>
      <c r="E87" s="164">
        <f t="shared" si="13"/>
        <v>5.1057063649418426</v>
      </c>
      <c r="F87" s="155">
        <f t="shared" si="14"/>
        <v>87865</v>
      </c>
      <c r="G87" s="155">
        <v>572396</v>
      </c>
      <c r="H87" s="8"/>
      <c r="I87" s="8" t="s">
        <v>114</v>
      </c>
      <c r="J87" s="8" t="s">
        <v>112</v>
      </c>
      <c r="K87" s="1" t="s">
        <v>113</v>
      </c>
      <c r="Q87" s="111">
        <v>21295</v>
      </c>
      <c r="R87" s="112">
        <f t="shared" si="12"/>
        <v>3.7203264872570738E-2</v>
      </c>
    </row>
    <row r="88" spans="1:18" outlineLevel="1" x14ac:dyDescent="0.2">
      <c r="A88" s="170">
        <v>31868</v>
      </c>
      <c r="B88" s="154">
        <v>78387</v>
      </c>
      <c r="C88" s="154">
        <v>62109</v>
      </c>
      <c r="D88" s="155">
        <v>16278</v>
      </c>
      <c r="E88" s="164">
        <f t="shared" si="13"/>
        <v>2.8438353866903334</v>
      </c>
      <c r="F88" s="155">
        <f t="shared" si="14"/>
        <v>90770</v>
      </c>
      <c r="G88" s="155">
        <v>679444</v>
      </c>
      <c r="H88" s="8"/>
      <c r="I88" s="8" t="s">
        <v>114</v>
      </c>
      <c r="J88" s="8" t="s">
        <v>112</v>
      </c>
      <c r="K88" s="1" t="s">
        <v>113</v>
      </c>
      <c r="Q88" s="111">
        <v>25520</v>
      </c>
      <c r="R88" s="112">
        <f t="shared" si="12"/>
        <v>3.7560122688551224E-2</v>
      </c>
    </row>
    <row r="89" spans="1:18" outlineLevel="1" x14ac:dyDescent="0.2">
      <c r="A89" s="170">
        <v>31898</v>
      </c>
      <c r="B89" s="154">
        <v>80585</v>
      </c>
      <c r="C89" s="154">
        <v>61601</v>
      </c>
      <c r="D89" s="155">
        <v>18984</v>
      </c>
      <c r="E89" s="164">
        <f t="shared" si="13"/>
        <v>2.7940492520354878</v>
      </c>
      <c r="F89" s="155">
        <f t="shared" si="14"/>
        <v>140819</v>
      </c>
      <c r="G89" s="155">
        <v>839247</v>
      </c>
      <c r="H89" s="8"/>
      <c r="I89" s="8" t="s">
        <v>114</v>
      </c>
      <c r="J89" s="8" t="s">
        <v>112</v>
      </c>
      <c r="K89" s="1" t="s">
        <v>113</v>
      </c>
      <c r="Q89" s="111">
        <v>31927</v>
      </c>
      <c r="R89" s="112">
        <f t="shared" si="12"/>
        <v>3.8042435659585316E-2</v>
      </c>
    </row>
    <row r="90" spans="1:18" outlineLevel="1" x14ac:dyDescent="0.2">
      <c r="A90" s="170">
        <v>31929</v>
      </c>
      <c r="B90" s="154">
        <v>96196</v>
      </c>
      <c r="C90" s="154">
        <v>76616</v>
      </c>
      <c r="D90" s="155">
        <v>19580</v>
      </c>
      <c r="E90" s="164">
        <f t="shared" si="13"/>
        <v>2.333043788062394</v>
      </c>
      <c r="F90" s="155">
        <f t="shared" si="14"/>
        <v>197865</v>
      </c>
      <c r="G90" s="155">
        <v>1056692</v>
      </c>
      <c r="H90" s="8"/>
      <c r="I90" s="8" t="s">
        <v>114</v>
      </c>
      <c r="J90" s="8" t="s">
        <v>112</v>
      </c>
      <c r="K90" s="1" t="s">
        <v>113</v>
      </c>
      <c r="Q90" s="111">
        <v>40333</v>
      </c>
      <c r="R90" s="112">
        <f t="shared" si="12"/>
        <v>3.816911645020498E-2</v>
      </c>
    </row>
    <row r="91" spans="1:18" outlineLevel="1" x14ac:dyDescent="0.2">
      <c r="A91" s="170">
        <v>31959</v>
      </c>
      <c r="B91" s="154">
        <v>110172</v>
      </c>
      <c r="C91" s="154">
        <v>115162</v>
      </c>
      <c r="D91" s="155">
        <v>-4990</v>
      </c>
      <c r="E91" s="164">
        <f t="shared" si="13"/>
        <v>-0.47222842606928034</v>
      </c>
      <c r="F91" s="155">
        <f t="shared" si="14"/>
        <v>191439</v>
      </c>
      <c r="G91" s="155">
        <v>1243141</v>
      </c>
      <c r="H91" s="8"/>
      <c r="I91" s="8" t="s">
        <v>114</v>
      </c>
      <c r="J91" s="8" t="s">
        <v>112</v>
      </c>
      <c r="K91" s="1" t="s">
        <v>113</v>
      </c>
      <c r="Q91" s="111">
        <v>47261</v>
      </c>
      <c r="R91" s="112">
        <f t="shared" si="12"/>
        <v>3.801740912736367E-2</v>
      </c>
    </row>
    <row r="92" spans="1:18" outlineLevel="1" x14ac:dyDescent="0.2">
      <c r="A92" s="170">
        <v>31990</v>
      </c>
      <c r="B92" s="154">
        <v>91416</v>
      </c>
      <c r="C92" s="154">
        <v>116281</v>
      </c>
      <c r="D92" s="155">
        <v>-24865</v>
      </c>
      <c r="E92" s="164">
        <f t="shared" si="13"/>
        <v>-2.0001753622477256</v>
      </c>
      <c r="F92" s="155">
        <f t="shared" si="14"/>
        <v>108832</v>
      </c>
      <c r="G92" s="155">
        <v>1327108</v>
      </c>
      <c r="H92" s="8"/>
      <c r="I92" s="8" t="s">
        <v>114</v>
      </c>
      <c r="J92" s="8" t="s">
        <v>112</v>
      </c>
      <c r="K92" s="1" t="s">
        <v>113</v>
      </c>
      <c r="Q92" s="111">
        <v>50324</v>
      </c>
      <c r="R92" s="112">
        <f t="shared" si="12"/>
        <v>3.7920048707414923E-2</v>
      </c>
    </row>
    <row r="93" spans="1:18" outlineLevel="1" x14ac:dyDescent="0.2">
      <c r="A93" s="170">
        <v>32021</v>
      </c>
      <c r="B93" s="154">
        <v>109251</v>
      </c>
      <c r="C93" s="154">
        <v>117822</v>
      </c>
      <c r="D93" s="155">
        <v>-8571</v>
      </c>
      <c r="E93" s="164">
        <f t="shared" si="13"/>
        <v>-0.64584042896282745</v>
      </c>
      <c r="F93" s="155">
        <f t="shared" si="14"/>
        <v>107300</v>
      </c>
      <c r="G93" s="155">
        <v>1425837</v>
      </c>
      <c r="H93" s="8"/>
      <c r="I93" s="8" t="s">
        <v>114</v>
      </c>
      <c r="J93" s="8" t="s">
        <v>112</v>
      </c>
      <c r="K93" s="1" t="s">
        <v>113</v>
      </c>
      <c r="Q93" s="111">
        <v>54313</v>
      </c>
      <c r="R93" s="112">
        <f t="shared" si="12"/>
        <v>3.80920119200161E-2</v>
      </c>
    </row>
    <row r="94" spans="1:18" outlineLevel="1" x14ac:dyDescent="0.2">
      <c r="A94" s="170">
        <v>32051</v>
      </c>
      <c r="B94" s="154">
        <v>120556</v>
      </c>
      <c r="C94" s="154">
        <v>133809</v>
      </c>
      <c r="D94" s="155">
        <v>-13253</v>
      </c>
      <c r="E94" s="164">
        <f t="shared" si="13"/>
        <v>-0.92948913515359755</v>
      </c>
      <c r="F94" s="155">
        <f t="shared" si="14"/>
        <v>112232</v>
      </c>
      <c r="G94" s="155">
        <v>1524816</v>
      </c>
      <c r="H94" s="8"/>
      <c r="I94" s="8" t="s">
        <v>114</v>
      </c>
      <c r="J94" s="8" t="s">
        <v>112</v>
      </c>
      <c r="K94" s="1" t="s">
        <v>113</v>
      </c>
      <c r="Q94" s="111">
        <v>58312</v>
      </c>
      <c r="R94" s="112">
        <f t="shared" si="12"/>
        <v>3.8241991164835627E-2</v>
      </c>
    </row>
    <row r="95" spans="1:18" outlineLevel="1" x14ac:dyDescent="0.2">
      <c r="A95" s="170">
        <v>32082</v>
      </c>
      <c r="B95" s="154">
        <v>127539</v>
      </c>
      <c r="C95" s="154">
        <v>136259</v>
      </c>
      <c r="D95" s="155">
        <v>-8720</v>
      </c>
      <c r="E95" s="164">
        <f t="shared" si="13"/>
        <v>-0.57187227836014309</v>
      </c>
      <c r="F95" s="155">
        <f t="shared" si="14"/>
        <v>147225</v>
      </c>
      <c r="G95" s="155">
        <v>1663321</v>
      </c>
      <c r="H95" s="8"/>
      <c r="I95" s="8" t="s">
        <v>114</v>
      </c>
      <c r="J95" s="8" t="s">
        <v>112</v>
      </c>
      <c r="K95" s="1" t="s">
        <v>113</v>
      </c>
      <c r="Q95" s="111">
        <v>64340</v>
      </c>
      <c r="R95" s="112">
        <f t="shared" si="12"/>
        <v>3.8681649543293208E-2</v>
      </c>
    </row>
    <row r="96" spans="1:18" outlineLevel="1" x14ac:dyDescent="0.2">
      <c r="A96" s="170">
        <v>32112</v>
      </c>
      <c r="B96" s="154">
        <v>266653</v>
      </c>
      <c r="C96" s="154">
        <v>158702</v>
      </c>
      <c r="D96" s="155">
        <v>107951</v>
      </c>
      <c r="E96" s="164">
        <f t="shared" si="13"/>
        <v>6.4900882030588205</v>
      </c>
      <c r="F96" s="155">
        <f t="shared" si="14"/>
        <v>270885</v>
      </c>
      <c r="G96" s="155">
        <v>2042157</v>
      </c>
      <c r="H96" s="8"/>
      <c r="I96" s="8" t="s">
        <v>114</v>
      </c>
      <c r="J96" s="8" t="s">
        <v>112</v>
      </c>
      <c r="K96" s="1" t="s">
        <v>113</v>
      </c>
      <c r="Q96" s="111">
        <v>79937</v>
      </c>
      <c r="R96" s="112">
        <f t="shared" si="12"/>
        <v>3.9143415516045048E-2</v>
      </c>
    </row>
    <row r="97" spans="1:18" x14ac:dyDescent="0.2">
      <c r="A97" s="151" t="s">
        <v>22</v>
      </c>
      <c r="B97" s="152">
        <f>SUM(B85:B96)</f>
        <v>1246235</v>
      </c>
      <c r="C97" s="152">
        <f>SUM(C85:C96)</f>
        <v>1073214</v>
      </c>
      <c r="D97" s="152">
        <f>SUM(D85:D96)</f>
        <v>173021</v>
      </c>
      <c r="E97" s="163">
        <f>(D97/G84*100)</f>
        <v>53.280839086760245</v>
      </c>
      <c r="F97" s="152">
        <f>SUM(F85:F96)</f>
        <v>1544402</v>
      </c>
      <c r="G97" s="153">
        <f>G96</f>
        <v>2042157</v>
      </c>
      <c r="I97" s="8" t="s">
        <v>114</v>
      </c>
      <c r="J97" s="8" t="s">
        <v>112</v>
      </c>
      <c r="K97" s="1" t="s">
        <v>113</v>
      </c>
    </row>
    <row r="98" spans="1:18" ht="20.100000000000001" customHeight="1" outlineLevel="1" x14ac:dyDescent="0.2">
      <c r="A98" s="170">
        <v>32143</v>
      </c>
      <c r="B98" s="154">
        <v>231770</v>
      </c>
      <c r="C98" s="154">
        <v>184529</v>
      </c>
      <c r="D98" s="155">
        <v>47241</v>
      </c>
      <c r="E98" s="164">
        <f>D98/G96*100</f>
        <v>2.3132893308398912</v>
      </c>
      <c r="F98" s="155">
        <f>(G98-G96)-D98</f>
        <v>284712</v>
      </c>
      <c r="G98" s="155">
        <v>2374110</v>
      </c>
      <c r="H98" s="8"/>
      <c r="I98" s="8" t="s">
        <v>114</v>
      </c>
      <c r="J98" s="8" t="s">
        <v>112</v>
      </c>
      <c r="K98" s="1" t="s">
        <v>113</v>
      </c>
      <c r="Q98" s="111">
        <v>93649</v>
      </c>
      <c r="R98" s="112">
        <f t="shared" ref="R98:R109" si="15">Q98/G98</f>
        <v>3.9445939741629493E-2</v>
      </c>
    </row>
    <row r="99" spans="1:18" outlineLevel="1" x14ac:dyDescent="0.2">
      <c r="A99" s="170">
        <v>32174</v>
      </c>
      <c r="B99" s="154">
        <v>307850</v>
      </c>
      <c r="C99" s="154">
        <v>193484</v>
      </c>
      <c r="D99" s="155">
        <v>114366</v>
      </c>
      <c r="E99" s="164">
        <f t="shared" ref="E99:E109" si="16">D99/G98*100</f>
        <v>4.8172157145203887</v>
      </c>
      <c r="F99" s="155">
        <f t="shared" ref="F99:F109" si="17">(G99-G98)-D99</f>
        <v>375021</v>
      </c>
      <c r="G99" s="155">
        <v>2863497</v>
      </c>
      <c r="H99" s="8"/>
      <c r="I99" s="8" t="s">
        <v>114</v>
      </c>
      <c r="J99" s="8" t="s">
        <v>112</v>
      </c>
      <c r="K99" s="1" t="s">
        <v>113</v>
      </c>
      <c r="Q99" s="111">
        <v>113311</v>
      </c>
      <c r="R99" s="112">
        <f t="shared" si="15"/>
        <v>3.9570846416112887E-2</v>
      </c>
    </row>
    <row r="100" spans="1:18" outlineLevel="1" x14ac:dyDescent="0.2">
      <c r="A100" s="170">
        <v>32203</v>
      </c>
      <c r="B100" s="154">
        <v>423252</v>
      </c>
      <c r="C100" s="154">
        <v>280632</v>
      </c>
      <c r="D100" s="155">
        <v>142620</v>
      </c>
      <c r="E100" s="164">
        <f t="shared" si="16"/>
        <v>4.9806233427169646</v>
      </c>
      <c r="F100" s="155">
        <f t="shared" si="17"/>
        <v>455341</v>
      </c>
      <c r="G100" s="155">
        <v>3461458</v>
      </c>
      <c r="H100" s="8"/>
      <c r="I100" s="8" t="s">
        <v>114</v>
      </c>
      <c r="J100" s="8" t="s">
        <v>112</v>
      </c>
      <c r="K100" s="1" t="s">
        <v>113</v>
      </c>
      <c r="Q100" s="111">
        <v>141079</v>
      </c>
      <c r="R100" s="112">
        <f t="shared" si="15"/>
        <v>4.0757102931770373E-2</v>
      </c>
    </row>
    <row r="101" spans="1:18" outlineLevel="1" x14ac:dyDescent="0.2">
      <c r="A101" s="170">
        <v>32234</v>
      </c>
      <c r="B101" s="154">
        <v>365545</v>
      </c>
      <c r="C101" s="154">
        <v>382430</v>
      </c>
      <c r="D101" s="155">
        <v>-16885</v>
      </c>
      <c r="E101" s="164">
        <f t="shared" si="16"/>
        <v>-0.48780022753417784</v>
      </c>
      <c r="F101" s="155">
        <f t="shared" si="17"/>
        <v>554357</v>
      </c>
      <c r="G101" s="155">
        <v>3998930</v>
      </c>
      <c r="H101" s="8"/>
      <c r="I101" s="8" t="s">
        <v>114</v>
      </c>
      <c r="J101" s="8" t="s">
        <v>112</v>
      </c>
      <c r="K101" s="1" t="s">
        <v>113</v>
      </c>
      <c r="Q101" s="111">
        <v>166834</v>
      </c>
      <c r="R101" s="112">
        <f t="shared" si="15"/>
        <v>4.1719660009052424E-2</v>
      </c>
    </row>
    <row r="102" spans="1:18" outlineLevel="1" x14ac:dyDescent="0.2">
      <c r="A102" s="170">
        <v>32264</v>
      </c>
      <c r="B102" s="154">
        <v>461159</v>
      </c>
      <c r="C102" s="154">
        <v>389723</v>
      </c>
      <c r="D102" s="155">
        <v>71436</v>
      </c>
      <c r="E102" s="164">
        <f t="shared" si="16"/>
        <v>1.7863778560765005</v>
      </c>
      <c r="F102" s="155">
        <f t="shared" si="17"/>
        <v>771597</v>
      </c>
      <c r="G102" s="155">
        <v>4841963</v>
      </c>
      <c r="H102" s="8"/>
      <c r="I102" s="8" t="s">
        <v>114</v>
      </c>
      <c r="J102" s="8" t="s">
        <v>112</v>
      </c>
      <c r="K102" s="1" t="s">
        <v>113</v>
      </c>
      <c r="Q102" s="111">
        <v>202920</v>
      </c>
      <c r="R102" s="112">
        <f t="shared" si="15"/>
        <v>4.1908622597900895E-2</v>
      </c>
    </row>
    <row r="103" spans="1:18" outlineLevel="1" x14ac:dyDescent="0.2">
      <c r="A103" s="170">
        <v>32295</v>
      </c>
      <c r="B103" s="154">
        <v>580585</v>
      </c>
      <c r="C103" s="154">
        <v>504815</v>
      </c>
      <c r="D103" s="155">
        <v>75770</v>
      </c>
      <c r="E103" s="164">
        <f t="shared" si="16"/>
        <v>1.5648611936935495</v>
      </c>
      <c r="F103" s="155">
        <f t="shared" si="17"/>
        <v>885806</v>
      </c>
      <c r="G103" s="155">
        <v>5803539</v>
      </c>
      <c r="H103" s="8"/>
      <c r="I103" s="8" t="s">
        <v>114</v>
      </c>
      <c r="J103" s="8" t="s">
        <v>112</v>
      </c>
      <c r="K103" s="1" t="s">
        <v>113</v>
      </c>
      <c r="Q103" s="111">
        <v>247048</v>
      </c>
      <c r="R103" s="112">
        <f t="shared" si="15"/>
        <v>4.2568508628958987E-2</v>
      </c>
    </row>
    <row r="104" spans="1:18" outlineLevel="1" x14ac:dyDescent="0.2">
      <c r="A104" s="170">
        <v>32325</v>
      </c>
      <c r="B104" s="154">
        <v>697684</v>
      </c>
      <c r="C104" s="154">
        <v>585692</v>
      </c>
      <c r="D104" s="155">
        <v>111992</v>
      </c>
      <c r="E104" s="164">
        <f t="shared" si="16"/>
        <v>1.9297190903688248</v>
      </c>
      <c r="F104" s="155">
        <f t="shared" si="17"/>
        <v>1158923</v>
      </c>
      <c r="G104" s="155">
        <v>7074454</v>
      </c>
      <c r="H104" s="8"/>
      <c r="I104" s="8" t="s">
        <v>114</v>
      </c>
      <c r="J104" s="8" t="s">
        <v>112</v>
      </c>
      <c r="K104" s="1" t="s">
        <v>113</v>
      </c>
      <c r="Q104" s="111">
        <v>306279</v>
      </c>
      <c r="R104" s="112">
        <f t="shared" si="15"/>
        <v>4.3293659129029605E-2</v>
      </c>
    </row>
    <row r="105" spans="1:18" outlineLevel="1" x14ac:dyDescent="0.2">
      <c r="A105" s="170">
        <v>32356</v>
      </c>
      <c r="B105" s="154">
        <v>861030</v>
      </c>
      <c r="C105" s="154">
        <v>803482</v>
      </c>
      <c r="D105" s="155">
        <v>57548</v>
      </c>
      <c r="E105" s="164">
        <f t="shared" si="16"/>
        <v>0.81346207071245369</v>
      </c>
      <c r="F105" s="155">
        <f t="shared" si="17"/>
        <v>1711249</v>
      </c>
      <c r="G105" s="155">
        <v>8843251</v>
      </c>
      <c r="H105" s="8"/>
      <c r="I105" s="8" t="s">
        <v>114</v>
      </c>
      <c r="J105" s="8" t="s">
        <v>112</v>
      </c>
      <c r="K105" s="1" t="s">
        <v>113</v>
      </c>
      <c r="Q105" s="111">
        <v>385218</v>
      </c>
      <c r="R105" s="112">
        <f t="shared" si="15"/>
        <v>4.3560676950139716E-2</v>
      </c>
    </row>
    <row r="106" spans="1:18" outlineLevel="1" x14ac:dyDescent="0.2">
      <c r="A106" s="170">
        <v>32387</v>
      </c>
      <c r="B106" s="154">
        <v>1061879</v>
      </c>
      <c r="C106" s="154">
        <v>960612</v>
      </c>
      <c r="D106" s="155">
        <v>101267</v>
      </c>
      <c r="E106" s="164">
        <f t="shared" si="16"/>
        <v>1.1451331642627807</v>
      </c>
      <c r="F106" s="155">
        <f t="shared" si="17"/>
        <v>1857218</v>
      </c>
      <c r="G106" s="155">
        <v>10801736</v>
      </c>
      <c r="H106" s="8"/>
      <c r="I106" s="8" t="s">
        <v>114</v>
      </c>
      <c r="J106" s="8" t="s">
        <v>112</v>
      </c>
      <c r="K106" s="1" t="s">
        <v>113</v>
      </c>
      <c r="Q106" s="111">
        <v>474322</v>
      </c>
      <c r="R106" s="112">
        <f t="shared" si="15"/>
        <v>4.3911645313308899E-2</v>
      </c>
    </row>
    <row r="107" spans="1:18" outlineLevel="1" x14ac:dyDescent="0.2">
      <c r="A107" s="170">
        <v>32417</v>
      </c>
      <c r="B107" s="154">
        <v>1105743</v>
      </c>
      <c r="C107" s="154">
        <v>1113215</v>
      </c>
      <c r="D107" s="155">
        <v>-7472</v>
      </c>
      <c r="E107" s="164">
        <f t="shared" si="16"/>
        <v>-6.9174066094561101E-2</v>
      </c>
      <c r="F107" s="155">
        <f t="shared" si="17"/>
        <v>2616693</v>
      </c>
      <c r="G107" s="155">
        <v>13410957</v>
      </c>
      <c r="H107" s="8"/>
      <c r="I107" s="8" t="s">
        <v>114</v>
      </c>
      <c r="J107" s="8" t="s">
        <v>112</v>
      </c>
      <c r="K107" s="1" t="s">
        <v>113</v>
      </c>
      <c r="Q107" s="111">
        <v>596765</v>
      </c>
      <c r="R107" s="112">
        <f t="shared" si="15"/>
        <v>4.4498315817431973E-2</v>
      </c>
    </row>
    <row r="108" spans="1:18" outlineLevel="1" x14ac:dyDescent="0.2">
      <c r="A108" s="170">
        <v>32448</v>
      </c>
      <c r="B108" s="154">
        <v>1422849</v>
      </c>
      <c r="C108" s="154">
        <v>1528294</v>
      </c>
      <c r="D108" s="155">
        <v>-105445</v>
      </c>
      <c r="E108" s="164">
        <f t="shared" si="16"/>
        <v>-0.78626007077645543</v>
      </c>
      <c r="F108" s="155">
        <f t="shared" si="17"/>
        <v>3680318</v>
      </c>
      <c r="G108" s="155">
        <v>16985830</v>
      </c>
      <c r="H108" s="8"/>
      <c r="I108" s="8" t="s">
        <v>114</v>
      </c>
      <c r="J108" s="8" t="s">
        <v>112</v>
      </c>
      <c r="K108" s="1" t="s">
        <v>113</v>
      </c>
      <c r="Q108" s="111">
        <v>753130</v>
      </c>
      <c r="R108" s="112">
        <f t="shared" si="15"/>
        <v>4.4338722335028669E-2</v>
      </c>
    </row>
    <row r="109" spans="1:18" outlineLevel="1" x14ac:dyDescent="0.2">
      <c r="A109" s="170">
        <v>32478</v>
      </c>
      <c r="B109" s="154">
        <v>2563126</v>
      </c>
      <c r="C109" s="154">
        <v>2127618</v>
      </c>
      <c r="D109" s="155">
        <v>435508</v>
      </c>
      <c r="E109" s="164">
        <f t="shared" si="16"/>
        <v>2.5639488915172235</v>
      </c>
      <c r="F109" s="155">
        <f t="shared" si="17"/>
        <v>4685143</v>
      </c>
      <c r="G109" s="155">
        <v>22106481</v>
      </c>
      <c r="H109" s="8"/>
      <c r="I109" s="8" t="s">
        <v>114</v>
      </c>
      <c r="J109" s="8" t="s">
        <v>112</v>
      </c>
      <c r="K109" s="1" t="s">
        <v>113</v>
      </c>
      <c r="Q109" s="111">
        <v>983665</v>
      </c>
      <c r="R109" s="112">
        <f t="shared" si="15"/>
        <v>4.449667950317375E-2</v>
      </c>
    </row>
    <row r="110" spans="1:18" x14ac:dyDescent="0.2">
      <c r="A110" s="151" t="s">
        <v>23</v>
      </c>
      <c r="B110" s="152">
        <f>SUM(B98:B109)</f>
        <v>10082472</v>
      </c>
      <c r="C110" s="152">
        <f>SUM(C98:C109)</f>
        <v>9054526</v>
      </c>
      <c r="D110" s="152">
        <f>SUM(D98:D109)</f>
        <v>1027946</v>
      </c>
      <c r="E110" s="163">
        <f>(D110/G97*100)</f>
        <v>50.336286583254861</v>
      </c>
      <c r="F110" s="152">
        <f>SUM(F98:F109)</f>
        <v>19036378</v>
      </c>
      <c r="G110" s="153">
        <f>G109</f>
        <v>22106481</v>
      </c>
      <c r="I110" s="8" t="s">
        <v>114</v>
      </c>
      <c r="J110" s="8" t="s">
        <v>112</v>
      </c>
      <c r="K110" s="1" t="s">
        <v>113</v>
      </c>
      <c r="M110" s="111"/>
      <c r="R110" s="112"/>
    </row>
    <row r="111" spans="1:18" ht="20.100000000000001" customHeight="1" outlineLevel="1" x14ac:dyDescent="0.2">
      <c r="A111" s="170">
        <v>32509</v>
      </c>
      <c r="B111" s="154">
        <v>1762</v>
      </c>
      <c r="C111" s="154">
        <v>2272</v>
      </c>
      <c r="D111" s="155">
        <v>-510</v>
      </c>
      <c r="E111" s="164">
        <f>D111/(G109/1000)*100</f>
        <v>-2.3070157570533274</v>
      </c>
      <c r="F111" s="155">
        <f>(G111-(G109/1000))-D111</f>
        <v>6255.5190000000002</v>
      </c>
      <c r="G111" s="155">
        <v>27852</v>
      </c>
      <c r="H111" s="8"/>
      <c r="I111" s="115" t="s">
        <v>109</v>
      </c>
      <c r="J111" s="115" t="s">
        <v>115</v>
      </c>
      <c r="K111" s="116" t="s">
        <v>113</v>
      </c>
      <c r="P111" s="111">
        <v>1246881</v>
      </c>
      <c r="Q111" s="113">
        <f>P111/1000</f>
        <v>1246.8810000000001</v>
      </c>
      <c r="R111" s="112">
        <f t="shared" ref="R111:R122" si="18">Q111/G111</f>
        <v>4.4768095648427403E-2</v>
      </c>
    </row>
    <row r="112" spans="1:18" outlineLevel="1" x14ac:dyDescent="0.2">
      <c r="A112" s="170">
        <v>32540</v>
      </c>
      <c r="B112" s="154">
        <v>2661</v>
      </c>
      <c r="C112" s="154">
        <v>2655</v>
      </c>
      <c r="D112" s="155">
        <v>6</v>
      </c>
      <c r="E112" s="164">
        <f t="shared" ref="E112:E122" si="19">D112/G111*100</f>
        <v>2.1542438604049977E-2</v>
      </c>
      <c r="F112" s="155">
        <f t="shared" ref="F112:F122" si="20">(G112-G111)-D112</f>
        <v>6307</v>
      </c>
      <c r="G112" s="155">
        <v>34165</v>
      </c>
      <c r="H112" s="8"/>
      <c r="I112" s="8" t="s">
        <v>109</v>
      </c>
      <c r="J112" s="8" t="s">
        <v>115</v>
      </c>
      <c r="K112" s="1" t="s">
        <v>113</v>
      </c>
      <c r="P112" s="111">
        <v>1555393</v>
      </c>
      <c r="Q112" s="113">
        <f t="shared" ref="Q112:Q134" si="21">P112/1000</f>
        <v>1555.393</v>
      </c>
      <c r="R112" s="112">
        <f t="shared" si="18"/>
        <v>4.5525918337479876E-2</v>
      </c>
    </row>
    <row r="113" spans="1:18" outlineLevel="1" x14ac:dyDescent="0.2">
      <c r="A113" s="170">
        <v>32568</v>
      </c>
      <c r="B113" s="154">
        <v>3584</v>
      </c>
      <c r="C113" s="154">
        <v>3325</v>
      </c>
      <c r="D113" s="155">
        <v>259</v>
      </c>
      <c r="E113" s="164">
        <f t="shared" si="19"/>
        <v>0.75808576028098928</v>
      </c>
      <c r="F113" s="155">
        <f t="shared" si="20"/>
        <v>6485</v>
      </c>
      <c r="G113" s="155">
        <v>40909</v>
      </c>
      <c r="H113" s="8"/>
      <c r="I113" s="8" t="s">
        <v>109</v>
      </c>
      <c r="J113" s="8" t="s">
        <v>115</v>
      </c>
      <c r="K113" s="1" t="s">
        <v>113</v>
      </c>
      <c r="P113" s="111">
        <v>1956031</v>
      </c>
      <c r="Q113" s="113">
        <f t="shared" si="21"/>
        <v>1956.0309999999999</v>
      </c>
      <c r="R113" s="112">
        <f t="shared" si="18"/>
        <v>4.7814197364883029E-2</v>
      </c>
    </row>
    <row r="114" spans="1:18" outlineLevel="1" x14ac:dyDescent="0.2">
      <c r="A114" s="170">
        <v>32599</v>
      </c>
      <c r="B114" s="154">
        <v>2983</v>
      </c>
      <c r="C114" s="154">
        <v>3547</v>
      </c>
      <c r="D114" s="155">
        <v>-564</v>
      </c>
      <c r="E114" s="164">
        <f t="shared" si="19"/>
        <v>-1.3786697303771787</v>
      </c>
      <c r="F114" s="155">
        <f t="shared" si="20"/>
        <v>8110</v>
      </c>
      <c r="G114" s="155">
        <v>48455</v>
      </c>
      <c r="H114" s="8"/>
      <c r="I114" s="8" t="s">
        <v>109</v>
      </c>
      <c r="J114" s="8" t="s">
        <v>115</v>
      </c>
      <c r="K114" s="1" t="s">
        <v>113</v>
      </c>
      <c r="P114" s="111">
        <v>2310092</v>
      </c>
      <c r="Q114" s="113">
        <f t="shared" si="21"/>
        <v>2310.0920000000001</v>
      </c>
      <c r="R114" s="112">
        <f t="shared" si="18"/>
        <v>4.7674997420286865E-2</v>
      </c>
    </row>
    <row r="115" spans="1:18" outlineLevel="1" x14ac:dyDescent="0.2">
      <c r="A115" s="170">
        <v>32629</v>
      </c>
      <c r="B115" s="154">
        <v>2938</v>
      </c>
      <c r="C115" s="154">
        <v>5578</v>
      </c>
      <c r="D115" s="155">
        <v>-2640</v>
      </c>
      <c r="E115" s="164">
        <f t="shared" si="19"/>
        <v>-5.4483541430192961</v>
      </c>
      <c r="F115" s="155">
        <f t="shared" si="20"/>
        <v>5546</v>
      </c>
      <c r="G115" s="155">
        <v>51361</v>
      </c>
      <c r="H115" s="8"/>
      <c r="I115" s="8" t="s">
        <v>109</v>
      </c>
      <c r="J115" s="8" t="s">
        <v>115</v>
      </c>
      <c r="K115" s="1" t="s">
        <v>113</v>
      </c>
      <c r="P115" s="111">
        <v>2345532</v>
      </c>
      <c r="Q115" s="113">
        <f t="shared" si="21"/>
        <v>2345.5320000000002</v>
      </c>
      <c r="R115" s="112">
        <f t="shared" si="18"/>
        <v>4.5667568777866478E-2</v>
      </c>
    </row>
    <row r="116" spans="1:18" outlineLevel="1" x14ac:dyDescent="0.2">
      <c r="A116" s="170">
        <v>32660</v>
      </c>
      <c r="B116" s="154">
        <v>4461</v>
      </c>
      <c r="C116" s="154">
        <v>5642</v>
      </c>
      <c r="D116" s="155">
        <v>-1181</v>
      </c>
      <c r="E116" s="164">
        <f t="shared" si="19"/>
        <v>-2.2994100582153774</v>
      </c>
      <c r="F116" s="155">
        <f t="shared" si="20"/>
        <v>5366</v>
      </c>
      <c r="G116" s="155">
        <v>55546</v>
      </c>
      <c r="H116" s="8"/>
      <c r="I116" s="8" t="s">
        <v>109</v>
      </c>
      <c r="J116" s="8" t="s">
        <v>115</v>
      </c>
      <c r="K116" s="1" t="s">
        <v>113</v>
      </c>
      <c r="P116" s="111">
        <v>2497887</v>
      </c>
      <c r="Q116" s="113">
        <f t="shared" si="21"/>
        <v>2497.8870000000002</v>
      </c>
      <c r="R116" s="112">
        <f t="shared" si="18"/>
        <v>4.4969700788535634E-2</v>
      </c>
    </row>
    <row r="117" spans="1:18" outlineLevel="1" x14ac:dyDescent="0.2">
      <c r="A117" s="170">
        <v>32690</v>
      </c>
      <c r="B117" s="154">
        <v>4811</v>
      </c>
      <c r="C117" s="154">
        <v>5751</v>
      </c>
      <c r="D117" s="155">
        <v>-940</v>
      </c>
      <c r="E117" s="164">
        <f t="shared" si="19"/>
        <v>-1.692291074064739</v>
      </c>
      <c r="F117" s="155">
        <f t="shared" si="20"/>
        <v>8956</v>
      </c>
      <c r="G117" s="155">
        <v>63562</v>
      </c>
      <c r="H117" s="8"/>
      <c r="I117" s="8" t="s">
        <v>109</v>
      </c>
      <c r="J117" s="8" t="s">
        <v>115</v>
      </c>
      <c r="K117" s="1" t="s">
        <v>113</v>
      </c>
      <c r="P117" s="111">
        <v>3110504</v>
      </c>
      <c r="Q117" s="113">
        <f t="shared" si="21"/>
        <v>3110.5039999999999</v>
      </c>
      <c r="R117" s="112">
        <f t="shared" si="18"/>
        <v>4.8936534407350303E-2</v>
      </c>
    </row>
    <row r="118" spans="1:18" outlineLevel="1" x14ac:dyDescent="0.2">
      <c r="A118" s="170">
        <v>32721</v>
      </c>
      <c r="B118" s="154">
        <v>6731</v>
      </c>
      <c r="C118" s="154">
        <v>7952</v>
      </c>
      <c r="D118" s="155">
        <v>-1221</v>
      </c>
      <c r="E118" s="164">
        <f t="shared" si="19"/>
        <v>-1.9209590635914542</v>
      </c>
      <c r="F118" s="155">
        <f t="shared" si="20"/>
        <v>25130</v>
      </c>
      <c r="G118" s="155">
        <v>87471</v>
      </c>
      <c r="H118" s="8"/>
      <c r="I118" s="8" t="s">
        <v>109</v>
      </c>
      <c r="J118" s="8" t="s">
        <v>115</v>
      </c>
      <c r="K118" s="1" t="s">
        <v>113</v>
      </c>
      <c r="P118" s="111">
        <v>3983491</v>
      </c>
      <c r="Q118" s="113">
        <f t="shared" si="21"/>
        <v>3983.491</v>
      </c>
      <c r="R118" s="112">
        <f t="shared" si="18"/>
        <v>4.5540704919344699E-2</v>
      </c>
    </row>
    <row r="119" spans="1:18" outlineLevel="1" x14ac:dyDescent="0.2">
      <c r="A119" s="170">
        <v>32752</v>
      </c>
      <c r="B119" s="154">
        <v>7534</v>
      </c>
      <c r="C119" s="154">
        <v>10996</v>
      </c>
      <c r="D119" s="155">
        <v>-3462</v>
      </c>
      <c r="E119" s="164">
        <f t="shared" si="19"/>
        <v>-3.9578831841410298</v>
      </c>
      <c r="F119" s="155">
        <f t="shared" si="20"/>
        <v>25775</v>
      </c>
      <c r="G119" s="155">
        <v>109784</v>
      </c>
      <c r="H119" s="8"/>
      <c r="I119" s="8" t="s">
        <v>109</v>
      </c>
      <c r="J119" s="8" t="s">
        <v>115</v>
      </c>
      <c r="K119" s="1" t="s">
        <v>113</v>
      </c>
      <c r="P119" s="111">
        <v>4935606</v>
      </c>
      <c r="Q119" s="113">
        <f t="shared" si="21"/>
        <v>4935.6059999999998</v>
      </c>
      <c r="R119" s="112">
        <f t="shared" si="18"/>
        <v>4.4957425490053195E-2</v>
      </c>
    </row>
    <row r="120" spans="1:18" outlineLevel="1" x14ac:dyDescent="0.2">
      <c r="A120" s="170">
        <v>32782</v>
      </c>
      <c r="B120" s="154">
        <v>10620</v>
      </c>
      <c r="C120" s="154">
        <v>13927</v>
      </c>
      <c r="D120" s="155">
        <v>-3307</v>
      </c>
      <c r="E120" s="164">
        <f t="shared" si="19"/>
        <v>-3.0122786562704946</v>
      </c>
      <c r="F120" s="155">
        <f t="shared" si="20"/>
        <v>39732</v>
      </c>
      <c r="G120" s="155">
        <v>146209</v>
      </c>
      <c r="H120" s="8"/>
      <c r="I120" s="8" t="s">
        <v>109</v>
      </c>
      <c r="J120" s="8" t="s">
        <v>115</v>
      </c>
      <c r="K120" s="1" t="s">
        <v>113</v>
      </c>
      <c r="P120" s="111">
        <v>6550581</v>
      </c>
      <c r="Q120" s="113">
        <f t="shared" si="21"/>
        <v>6550.5810000000001</v>
      </c>
      <c r="R120" s="112">
        <f t="shared" si="18"/>
        <v>4.4802857553228596E-2</v>
      </c>
    </row>
    <row r="121" spans="1:18" outlineLevel="1" x14ac:dyDescent="0.2">
      <c r="A121" s="170">
        <v>32813</v>
      </c>
      <c r="B121" s="154">
        <v>13008</v>
      </c>
      <c r="C121" s="154">
        <v>22622</v>
      </c>
      <c r="D121" s="155">
        <v>-9614</v>
      </c>
      <c r="E121" s="164">
        <f t="shared" si="19"/>
        <v>-6.5755186069257023</v>
      </c>
      <c r="F121" s="155">
        <f t="shared" si="20"/>
        <v>55368</v>
      </c>
      <c r="G121" s="155">
        <v>191963</v>
      </c>
      <c r="H121" s="8"/>
      <c r="I121" s="8" t="s">
        <v>109</v>
      </c>
      <c r="J121" s="8" t="s">
        <v>115</v>
      </c>
      <c r="K121" s="1" t="s">
        <v>113</v>
      </c>
      <c r="P121" s="111">
        <v>8418852</v>
      </c>
      <c r="Q121" s="113">
        <f t="shared" si="21"/>
        <v>8418.8520000000008</v>
      </c>
      <c r="R121" s="112">
        <f t="shared" si="18"/>
        <v>4.3856639039814967E-2</v>
      </c>
    </row>
    <row r="122" spans="1:18" outlineLevel="1" x14ac:dyDescent="0.2">
      <c r="A122" s="170">
        <v>32843</v>
      </c>
      <c r="B122" s="154">
        <v>24970</v>
      </c>
      <c r="C122" s="154">
        <v>30839</v>
      </c>
      <c r="D122" s="155">
        <v>-5869</v>
      </c>
      <c r="E122" s="164">
        <f t="shared" si="19"/>
        <v>-3.0573600120856623</v>
      </c>
      <c r="F122" s="155">
        <f t="shared" si="20"/>
        <v>80583</v>
      </c>
      <c r="G122" s="155">
        <v>266677</v>
      </c>
      <c r="H122" s="8"/>
      <c r="I122" s="8" t="s">
        <v>109</v>
      </c>
      <c r="J122" s="8" t="s">
        <v>115</v>
      </c>
      <c r="K122" s="1" t="s">
        <v>113</v>
      </c>
      <c r="P122" s="111">
        <v>11650749</v>
      </c>
      <c r="Q122" s="113">
        <f t="shared" si="21"/>
        <v>11650.749</v>
      </c>
      <c r="R122" s="112">
        <f t="shared" si="18"/>
        <v>4.3688615816137123E-2</v>
      </c>
    </row>
    <row r="123" spans="1:18" x14ac:dyDescent="0.2">
      <c r="A123" s="151" t="s">
        <v>24</v>
      </c>
      <c r="B123" s="152">
        <f>SUM(B111:B122)</f>
        <v>86063</v>
      </c>
      <c r="C123" s="152">
        <f>SUM(C111:C122)</f>
        <v>115106</v>
      </c>
      <c r="D123" s="152">
        <f>SUM(D111:D122)</f>
        <v>-29043</v>
      </c>
      <c r="E123" s="163">
        <f>(D123/G110*100)</f>
        <v>-0.13137776202372509</v>
      </c>
      <c r="F123" s="152">
        <f>SUM(F111:F122)</f>
        <v>273613.51899999997</v>
      </c>
      <c r="G123" s="153">
        <f>G122</f>
        <v>266677</v>
      </c>
      <c r="I123" s="8" t="s">
        <v>109</v>
      </c>
      <c r="J123" s="8" t="s">
        <v>115</v>
      </c>
      <c r="K123" s="1" t="s">
        <v>113</v>
      </c>
    </row>
    <row r="124" spans="1:18" ht="20.100000000000001" customHeight="1" outlineLevel="1" x14ac:dyDescent="0.2">
      <c r="A124" s="170">
        <v>32874</v>
      </c>
      <c r="B124" s="154">
        <v>34089</v>
      </c>
      <c r="C124" s="154">
        <v>41597</v>
      </c>
      <c r="D124" s="155">
        <v>-7508</v>
      </c>
      <c r="E124" s="164">
        <f>D124/G122*100</f>
        <v>-2.8153909036024856</v>
      </c>
      <c r="F124" s="155">
        <f>(G124-G122)-D124</f>
        <v>142452</v>
      </c>
      <c r="G124" s="155">
        <v>401621</v>
      </c>
      <c r="H124" s="8"/>
      <c r="I124" s="8" t="s">
        <v>109</v>
      </c>
      <c r="J124" s="8" t="s">
        <v>115</v>
      </c>
      <c r="K124" s="1" t="s">
        <v>113</v>
      </c>
      <c r="P124" s="111">
        <v>17579392</v>
      </c>
      <c r="Q124" s="113">
        <f t="shared" si="21"/>
        <v>17579.392</v>
      </c>
      <c r="R124" s="112">
        <f t="shared" ref="R124:R134" si="22">Q124/G124</f>
        <v>4.3771097626867123E-2</v>
      </c>
    </row>
    <row r="125" spans="1:18" outlineLevel="1" x14ac:dyDescent="0.2">
      <c r="A125" s="170">
        <v>32905</v>
      </c>
      <c r="B125" s="154">
        <v>229539</v>
      </c>
      <c r="C125" s="154">
        <v>55484</v>
      </c>
      <c r="D125" s="155">
        <v>174055</v>
      </c>
      <c r="E125" s="164">
        <f>D125/G124*100</f>
        <v>43.338122259543198</v>
      </c>
      <c r="F125" s="155">
        <f t="shared" ref="F125:F135" si="23">(G125-G124)-D125</f>
        <v>285546</v>
      </c>
      <c r="G125" s="155">
        <v>861222</v>
      </c>
      <c r="H125" s="8"/>
      <c r="I125" s="8" t="s">
        <v>109</v>
      </c>
      <c r="J125" s="8" t="s">
        <v>115</v>
      </c>
      <c r="K125" s="1" t="s">
        <v>113</v>
      </c>
      <c r="P125" s="111">
        <v>45262281</v>
      </c>
      <c r="Q125" s="113">
        <f t="shared" si="21"/>
        <v>45262.281000000003</v>
      </c>
      <c r="R125" s="112">
        <f t="shared" si="22"/>
        <v>5.2555881062025821E-2</v>
      </c>
    </row>
    <row r="126" spans="1:18" outlineLevel="1" x14ac:dyDescent="0.2">
      <c r="A126" s="170">
        <v>32933</v>
      </c>
      <c r="B126" s="154">
        <v>105398</v>
      </c>
      <c r="C126" s="154">
        <v>40325</v>
      </c>
      <c r="D126" s="155">
        <v>65073</v>
      </c>
      <c r="E126" s="164">
        <f>D126/G125*100</f>
        <v>7.5558915122929973</v>
      </c>
      <c r="F126" s="155">
        <f t="shared" si="23"/>
        <v>252250</v>
      </c>
      <c r="G126" s="155">
        <v>1178545</v>
      </c>
      <c r="H126" s="8"/>
      <c r="I126" s="115" t="s">
        <v>110</v>
      </c>
      <c r="J126" s="115" t="s">
        <v>111</v>
      </c>
      <c r="K126" s="116" t="s">
        <v>113</v>
      </c>
      <c r="P126" s="111">
        <v>61542686</v>
      </c>
      <c r="Q126" s="113">
        <f t="shared" si="21"/>
        <v>61542.686000000002</v>
      </c>
      <c r="R126" s="112">
        <f t="shared" si="22"/>
        <v>5.2219207582230635E-2</v>
      </c>
    </row>
    <row r="127" spans="1:18" outlineLevel="1" x14ac:dyDescent="0.2">
      <c r="A127" s="170">
        <v>32964</v>
      </c>
      <c r="B127" s="154">
        <v>20000</v>
      </c>
      <c r="C127" s="154">
        <v>370000</v>
      </c>
      <c r="D127" s="155">
        <v>-350000</v>
      </c>
      <c r="E127" s="164">
        <f>D127/G126*100</f>
        <v>-29.697635643950804</v>
      </c>
      <c r="F127" s="155">
        <f t="shared" si="23"/>
        <v>1455</v>
      </c>
      <c r="G127" s="155">
        <v>830000</v>
      </c>
      <c r="H127" s="8"/>
      <c r="I127" s="8" t="s">
        <v>110</v>
      </c>
      <c r="J127" s="8" t="s">
        <v>111</v>
      </c>
      <c r="K127" s="1" t="s">
        <v>113</v>
      </c>
      <c r="P127" s="111">
        <v>40347316</v>
      </c>
      <c r="Q127" s="113">
        <f t="shared" si="21"/>
        <v>40347.315999999999</v>
      </c>
      <c r="R127" s="112">
        <f t="shared" si="22"/>
        <v>4.861122409638554E-2</v>
      </c>
    </row>
    <row r="128" spans="1:18" outlineLevel="1" x14ac:dyDescent="0.2">
      <c r="A128" s="170">
        <v>32994</v>
      </c>
      <c r="B128" s="154">
        <v>10000</v>
      </c>
      <c r="C128" s="154">
        <v>60000</v>
      </c>
      <c r="D128" s="155">
        <v>-50000</v>
      </c>
      <c r="E128" s="164">
        <f>D128/G126*100</f>
        <v>-4.2425193777072581</v>
      </c>
      <c r="F128" s="155">
        <f t="shared" si="23"/>
        <v>6807</v>
      </c>
      <c r="G128" s="155">
        <v>786807</v>
      </c>
      <c r="H128" s="8"/>
      <c r="I128" s="8" t="s">
        <v>110</v>
      </c>
      <c r="J128" s="8" t="s">
        <v>111</v>
      </c>
      <c r="K128" s="1" t="s">
        <v>113</v>
      </c>
      <c r="P128" s="111">
        <v>38428065</v>
      </c>
      <c r="Q128" s="113">
        <f t="shared" si="21"/>
        <v>38428.065000000002</v>
      </c>
      <c r="R128" s="112">
        <f t="shared" si="22"/>
        <v>4.8840522516957786E-2</v>
      </c>
    </row>
    <row r="129" spans="1:18" outlineLevel="1" x14ac:dyDescent="0.2">
      <c r="A129" s="170">
        <v>33025</v>
      </c>
      <c r="B129" s="154">
        <v>93446</v>
      </c>
      <c r="C129" s="154">
        <v>100476</v>
      </c>
      <c r="D129" s="155">
        <v>-7030</v>
      </c>
      <c r="E129" s="164">
        <f t="shared" ref="E129:E135" si="24">D129/G128*100</f>
        <v>-0.89348467921612285</v>
      </c>
      <c r="F129" s="155">
        <f t="shared" si="23"/>
        <v>50796</v>
      </c>
      <c r="G129" s="155">
        <v>830573</v>
      </c>
      <c r="H129" s="8"/>
      <c r="I129" s="8" t="s">
        <v>110</v>
      </c>
      <c r="J129" s="8" t="s">
        <v>111</v>
      </c>
      <c r="K129" s="1" t="s">
        <v>113</v>
      </c>
      <c r="P129" s="111">
        <v>49121976</v>
      </c>
      <c r="Q129" s="113">
        <f t="shared" si="21"/>
        <v>49121.976000000002</v>
      </c>
      <c r="R129" s="112">
        <f t="shared" si="22"/>
        <v>5.9142274068624913E-2</v>
      </c>
    </row>
    <row r="130" spans="1:18" outlineLevel="1" x14ac:dyDescent="0.2">
      <c r="A130" s="170">
        <v>33055</v>
      </c>
      <c r="B130" s="154">
        <v>192126</v>
      </c>
      <c r="C130" s="154">
        <v>107190</v>
      </c>
      <c r="D130" s="155">
        <v>84936</v>
      </c>
      <c r="E130" s="164">
        <f t="shared" si="24"/>
        <v>10.226193242496445</v>
      </c>
      <c r="F130" s="155">
        <f t="shared" si="23"/>
        <v>74575</v>
      </c>
      <c r="G130" s="155">
        <v>990084</v>
      </c>
      <c r="H130" s="8"/>
      <c r="I130" s="8" t="s">
        <v>110</v>
      </c>
      <c r="J130" s="8" t="s">
        <v>111</v>
      </c>
      <c r="K130" s="1" t="s">
        <v>113</v>
      </c>
      <c r="P130" s="111">
        <v>57141131</v>
      </c>
      <c r="Q130" s="113">
        <f t="shared" si="21"/>
        <v>57141.131000000001</v>
      </c>
      <c r="R130" s="112">
        <f t="shared" si="22"/>
        <v>5.7713417245405442E-2</v>
      </c>
    </row>
    <row r="131" spans="1:18" outlineLevel="1" x14ac:dyDescent="0.2">
      <c r="A131" s="170">
        <v>33086</v>
      </c>
      <c r="B131" s="154">
        <v>172324</v>
      </c>
      <c r="C131" s="154">
        <v>129272</v>
      </c>
      <c r="D131" s="155">
        <v>43052</v>
      </c>
      <c r="E131" s="164">
        <f t="shared" si="24"/>
        <v>4.3483179204996745</v>
      </c>
      <c r="F131" s="155">
        <f t="shared" si="23"/>
        <v>111778</v>
      </c>
      <c r="G131" s="155">
        <v>1144914</v>
      </c>
      <c r="H131" s="8"/>
      <c r="I131" s="8" t="s">
        <v>110</v>
      </c>
      <c r="J131" s="8" t="s">
        <v>111</v>
      </c>
      <c r="K131" s="1" t="s">
        <v>113</v>
      </c>
      <c r="P131" s="111">
        <v>64239597</v>
      </c>
      <c r="Q131" s="113">
        <f t="shared" si="21"/>
        <v>64239.597000000002</v>
      </c>
      <c r="R131" s="112">
        <f t="shared" si="22"/>
        <v>5.6108665803719759E-2</v>
      </c>
    </row>
    <row r="132" spans="1:18" outlineLevel="1" x14ac:dyDescent="0.2">
      <c r="A132" s="170">
        <v>33117</v>
      </c>
      <c r="B132" s="154">
        <v>130861</v>
      </c>
      <c r="C132" s="154">
        <v>121815</v>
      </c>
      <c r="D132" s="155">
        <v>9046</v>
      </c>
      <c r="E132" s="164">
        <f t="shared" si="24"/>
        <v>0.79010301210396594</v>
      </c>
      <c r="F132" s="155">
        <f t="shared" si="23"/>
        <v>121430</v>
      </c>
      <c r="G132" s="155">
        <v>1275390</v>
      </c>
      <c r="H132" s="8"/>
      <c r="I132" s="8" t="s">
        <v>110</v>
      </c>
      <c r="J132" s="8" t="s">
        <v>111</v>
      </c>
      <c r="K132" s="1" t="s">
        <v>113</v>
      </c>
      <c r="P132" s="111">
        <v>72524971</v>
      </c>
      <c r="Q132" s="113">
        <f t="shared" si="21"/>
        <v>72524.971000000005</v>
      </c>
      <c r="R132" s="112">
        <f t="shared" si="22"/>
        <v>5.6864936215588961E-2</v>
      </c>
    </row>
    <row r="133" spans="1:18" outlineLevel="1" x14ac:dyDescent="0.2">
      <c r="A133" s="170">
        <v>33147</v>
      </c>
      <c r="B133" s="154">
        <v>157407</v>
      </c>
      <c r="C133" s="154">
        <v>154439</v>
      </c>
      <c r="D133" s="155">
        <v>2968</v>
      </c>
      <c r="E133" s="164">
        <f t="shared" si="24"/>
        <v>0.23271313088545467</v>
      </c>
      <c r="F133" s="155">
        <f t="shared" si="23"/>
        <v>168427</v>
      </c>
      <c r="G133" s="155">
        <v>1446785</v>
      </c>
      <c r="H133" s="8"/>
      <c r="I133" s="8" t="s">
        <v>110</v>
      </c>
      <c r="J133" s="8" t="s">
        <v>111</v>
      </c>
      <c r="K133" s="1" t="s">
        <v>113</v>
      </c>
      <c r="P133" s="111">
        <v>81040963</v>
      </c>
      <c r="Q133" s="113">
        <f t="shared" si="21"/>
        <v>81040.963000000003</v>
      </c>
      <c r="R133" s="112">
        <f t="shared" si="22"/>
        <v>5.6014517015313264E-2</v>
      </c>
    </row>
    <row r="134" spans="1:18" outlineLevel="1" x14ac:dyDescent="0.2">
      <c r="A134" s="170">
        <v>33178</v>
      </c>
      <c r="B134" s="154">
        <v>176286</v>
      </c>
      <c r="C134" s="154">
        <v>184581</v>
      </c>
      <c r="D134" s="155">
        <v>-8295</v>
      </c>
      <c r="E134" s="164">
        <f t="shared" si="24"/>
        <v>-0.57334019913117706</v>
      </c>
      <c r="F134" s="155">
        <f t="shared" si="23"/>
        <v>198891</v>
      </c>
      <c r="G134" s="155">
        <v>1637381</v>
      </c>
      <c r="H134" s="8"/>
      <c r="I134" s="8" t="s">
        <v>110</v>
      </c>
      <c r="J134" s="8" t="s">
        <v>111</v>
      </c>
      <c r="K134" s="1" t="s">
        <v>113</v>
      </c>
      <c r="P134" s="111">
        <v>97394073</v>
      </c>
      <c r="Q134" s="113">
        <f t="shared" si="21"/>
        <v>97394.073000000004</v>
      </c>
      <c r="R134" s="112">
        <f t="shared" si="22"/>
        <v>5.948161912224461E-2</v>
      </c>
    </row>
    <row r="135" spans="1:18" outlineLevel="1" x14ac:dyDescent="0.2">
      <c r="A135" s="170">
        <v>33208</v>
      </c>
      <c r="B135" s="154">
        <v>319572</v>
      </c>
      <c r="C135" s="154">
        <v>236001</v>
      </c>
      <c r="D135" s="155">
        <v>83571</v>
      </c>
      <c r="E135" s="164">
        <f t="shared" si="24"/>
        <v>5.1039434316142671</v>
      </c>
      <c r="F135" s="155">
        <f t="shared" si="23"/>
        <v>327824</v>
      </c>
      <c r="G135" s="155">
        <v>2048776</v>
      </c>
      <c r="H135" s="8"/>
      <c r="I135" s="8" t="s">
        <v>110</v>
      </c>
      <c r="J135" s="8" t="s">
        <v>111</v>
      </c>
      <c r="K135" s="1" t="s">
        <v>113</v>
      </c>
    </row>
    <row r="136" spans="1:18" x14ac:dyDescent="0.2">
      <c r="A136" s="151" t="s">
        <v>25</v>
      </c>
      <c r="B136" s="152">
        <f>SUM(B124:B135)</f>
        <v>1641048</v>
      </c>
      <c r="C136" s="152">
        <f>SUM(C124:C135)</f>
        <v>1601180</v>
      </c>
      <c r="D136" s="152">
        <f>SUM(D124:D135)</f>
        <v>39868</v>
      </c>
      <c r="E136" s="163">
        <f>(D136/G123*100)</f>
        <v>14.94992069057324</v>
      </c>
      <c r="F136" s="152">
        <f>SUM(F124:F135)</f>
        <v>1742231</v>
      </c>
      <c r="G136" s="153">
        <f>G135</f>
        <v>2048776</v>
      </c>
      <c r="I136" s="8" t="s">
        <v>110</v>
      </c>
      <c r="J136" s="8" t="s">
        <v>111</v>
      </c>
      <c r="K136" s="1" t="s">
        <v>113</v>
      </c>
    </row>
    <row r="137" spans="1:18" ht="20.100000000000001" customHeight="1" outlineLevel="1" x14ac:dyDescent="0.2">
      <c r="A137" s="170">
        <v>33239</v>
      </c>
      <c r="B137" s="154">
        <v>322977</v>
      </c>
      <c r="C137" s="154">
        <v>274268</v>
      </c>
      <c r="D137" s="155">
        <v>48709</v>
      </c>
      <c r="E137" s="164">
        <f>D137/G135*100</f>
        <v>2.3774683030258066</v>
      </c>
      <c r="F137" s="155">
        <f>(G137-G135)-D137</f>
        <v>350917</v>
      </c>
      <c r="G137" s="155">
        <v>2448402</v>
      </c>
      <c r="H137" s="8"/>
      <c r="I137" s="8" t="s">
        <v>110</v>
      </c>
      <c r="J137" s="8" t="s">
        <v>111</v>
      </c>
      <c r="K137" s="1" t="s">
        <v>113</v>
      </c>
      <c r="P137" s="111">
        <v>118484148</v>
      </c>
      <c r="Q137" s="113">
        <f t="shared" ref="Q137:Q148" si="25">P137/1000</f>
        <v>118484.148</v>
      </c>
      <c r="R137" s="112">
        <f t="shared" ref="R137:R148" si="26">Q137/G137</f>
        <v>4.8392440457081805E-2</v>
      </c>
    </row>
    <row r="138" spans="1:18" outlineLevel="1" x14ac:dyDescent="0.2">
      <c r="A138" s="170">
        <v>33270</v>
      </c>
      <c r="B138" s="154">
        <v>389492</v>
      </c>
      <c r="C138" s="154">
        <v>323634</v>
      </c>
      <c r="D138" s="155">
        <v>65858</v>
      </c>
      <c r="E138" s="164">
        <f t="shared" ref="E138:E148" si="27">D138/G137*100</f>
        <v>2.6898360645024799</v>
      </c>
      <c r="F138" s="155">
        <f t="shared" ref="F138:F148" si="28">(G138-G137)-D138</f>
        <v>391733</v>
      </c>
      <c r="G138" s="155">
        <v>2905993</v>
      </c>
      <c r="H138" s="8"/>
      <c r="I138" s="8" t="s">
        <v>110</v>
      </c>
      <c r="J138" s="8" t="s">
        <v>111</v>
      </c>
      <c r="K138" s="1" t="s">
        <v>113</v>
      </c>
      <c r="P138" s="111">
        <v>139048196</v>
      </c>
      <c r="Q138" s="113">
        <f t="shared" si="25"/>
        <v>139048.196</v>
      </c>
      <c r="R138" s="112">
        <f t="shared" si="26"/>
        <v>4.7848771831177847E-2</v>
      </c>
    </row>
    <row r="139" spans="1:18" outlineLevel="1" x14ac:dyDescent="0.2">
      <c r="A139" s="170">
        <v>33298</v>
      </c>
      <c r="B139" s="154">
        <v>567697</v>
      </c>
      <c r="C139" s="154">
        <v>448094</v>
      </c>
      <c r="D139" s="155">
        <v>119603</v>
      </c>
      <c r="E139" s="164">
        <f t="shared" si="27"/>
        <v>4.1157359979876063</v>
      </c>
      <c r="F139" s="155">
        <f t="shared" si="28"/>
        <v>271080</v>
      </c>
      <c r="G139" s="155">
        <v>3296676</v>
      </c>
      <c r="H139" s="8"/>
      <c r="I139" s="8" t="s">
        <v>110</v>
      </c>
      <c r="J139" s="8" t="s">
        <v>111</v>
      </c>
      <c r="K139" s="1" t="s">
        <v>113</v>
      </c>
      <c r="P139" s="111">
        <v>154105677</v>
      </c>
      <c r="Q139" s="113">
        <f t="shared" si="25"/>
        <v>154105.677</v>
      </c>
      <c r="R139" s="112">
        <f t="shared" si="26"/>
        <v>4.6745775745023165E-2</v>
      </c>
    </row>
    <row r="140" spans="1:18" outlineLevel="1" x14ac:dyDescent="0.2">
      <c r="A140" s="170">
        <v>33329</v>
      </c>
      <c r="B140" s="154">
        <v>606966</v>
      </c>
      <c r="C140" s="154">
        <v>621348</v>
      </c>
      <c r="D140" s="155">
        <v>-14382</v>
      </c>
      <c r="E140" s="164">
        <f t="shared" si="27"/>
        <v>-0.43625761221302911</v>
      </c>
      <c r="F140" s="155">
        <f t="shared" si="28"/>
        <v>260713</v>
      </c>
      <c r="G140" s="155">
        <v>3543007</v>
      </c>
      <c r="H140" s="8"/>
      <c r="I140" s="8" t="s">
        <v>110</v>
      </c>
      <c r="J140" s="8" t="s">
        <v>111</v>
      </c>
      <c r="K140" s="1" t="s">
        <v>113</v>
      </c>
      <c r="P140" s="111">
        <v>168680014</v>
      </c>
      <c r="Q140" s="113">
        <f t="shared" si="25"/>
        <v>168680.014</v>
      </c>
      <c r="R140" s="112">
        <f t="shared" si="26"/>
        <v>4.7609280478418475E-2</v>
      </c>
    </row>
    <row r="141" spans="1:18" outlineLevel="1" x14ac:dyDescent="0.2">
      <c r="A141" s="170">
        <v>33359</v>
      </c>
      <c r="B141" s="154">
        <v>586035</v>
      </c>
      <c r="C141" s="154">
        <v>596643</v>
      </c>
      <c r="D141" s="155">
        <v>-10608</v>
      </c>
      <c r="E141" s="164">
        <f t="shared" si="27"/>
        <v>-0.299406690418619</v>
      </c>
      <c r="F141" s="155">
        <f t="shared" si="28"/>
        <v>307110</v>
      </c>
      <c r="G141" s="155">
        <v>3839509</v>
      </c>
      <c r="H141" s="8"/>
      <c r="I141" s="8" t="s">
        <v>110</v>
      </c>
      <c r="J141" s="8" t="s">
        <v>111</v>
      </c>
      <c r="K141" s="1" t="s">
        <v>113</v>
      </c>
      <c r="P141" s="111">
        <v>185216016</v>
      </c>
      <c r="Q141" s="113">
        <f t="shared" si="25"/>
        <v>185216.016</v>
      </c>
      <c r="R141" s="112">
        <f t="shared" si="26"/>
        <v>4.8239505624286853E-2</v>
      </c>
    </row>
    <row r="142" spans="1:18" outlineLevel="1" x14ac:dyDescent="0.2">
      <c r="A142" s="170">
        <v>33390</v>
      </c>
      <c r="B142" s="154">
        <v>764134</v>
      </c>
      <c r="C142" s="154">
        <v>656009</v>
      </c>
      <c r="D142" s="155">
        <v>108125</v>
      </c>
      <c r="E142" s="164">
        <f t="shared" si="27"/>
        <v>2.8161152897414747</v>
      </c>
      <c r="F142" s="155">
        <f t="shared" si="28"/>
        <v>390219</v>
      </c>
      <c r="G142" s="155">
        <v>4337853</v>
      </c>
      <c r="H142" s="8"/>
      <c r="I142" s="8" t="s">
        <v>110</v>
      </c>
      <c r="J142" s="8" t="s">
        <v>111</v>
      </c>
      <c r="K142" s="1" t="s">
        <v>113</v>
      </c>
      <c r="P142" s="111">
        <v>209466780</v>
      </c>
      <c r="Q142" s="113">
        <f t="shared" si="25"/>
        <v>209466.78</v>
      </c>
      <c r="R142" s="112">
        <f t="shared" si="26"/>
        <v>4.8288123179831131E-2</v>
      </c>
    </row>
    <row r="143" spans="1:18" outlineLevel="1" x14ac:dyDescent="0.2">
      <c r="A143" s="170">
        <v>33420</v>
      </c>
      <c r="B143" s="154">
        <v>991882</v>
      </c>
      <c r="C143" s="154">
        <v>866452</v>
      </c>
      <c r="D143" s="155">
        <v>125430</v>
      </c>
      <c r="E143" s="164">
        <f t="shared" si="27"/>
        <v>2.8915226034630495</v>
      </c>
      <c r="F143" s="155">
        <f t="shared" si="28"/>
        <v>380568</v>
      </c>
      <c r="G143" s="155">
        <v>4843851</v>
      </c>
      <c r="H143" s="8"/>
      <c r="I143" s="8" t="s">
        <v>110</v>
      </c>
      <c r="J143" s="8" t="s">
        <v>111</v>
      </c>
      <c r="K143" s="1" t="s">
        <v>113</v>
      </c>
      <c r="P143" s="111">
        <v>240486632</v>
      </c>
      <c r="Q143" s="113">
        <f t="shared" si="25"/>
        <v>240486.63200000001</v>
      </c>
      <c r="R143" s="112">
        <f t="shared" si="26"/>
        <v>4.9647817820985825E-2</v>
      </c>
    </row>
    <row r="144" spans="1:18" outlineLevel="1" x14ac:dyDescent="0.2">
      <c r="A144" s="170">
        <v>33451</v>
      </c>
      <c r="B144" s="154">
        <v>1179408</v>
      </c>
      <c r="C144" s="154">
        <v>1183456</v>
      </c>
      <c r="D144" s="155">
        <v>-4048</v>
      </c>
      <c r="E144" s="164">
        <f t="shared" si="27"/>
        <v>-8.3569870336639179E-2</v>
      </c>
      <c r="F144" s="155">
        <f t="shared" si="28"/>
        <v>528522</v>
      </c>
      <c r="G144" s="155">
        <v>5368325</v>
      </c>
      <c r="H144" s="8"/>
      <c r="I144" s="8" t="s">
        <v>110</v>
      </c>
      <c r="J144" s="8" t="s">
        <v>111</v>
      </c>
      <c r="K144" s="1" t="s">
        <v>113</v>
      </c>
      <c r="P144" s="111">
        <v>267210772</v>
      </c>
      <c r="Q144" s="113">
        <f t="shared" si="25"/>
        <v>267210.772</v>
      </c>
      <c r="R144" s="112">
        <f t="shared" si="26"/>
        <v>4.9775446158718033E-2</v>
      </c>
    </row>
    <row r="145" spans="1:18" outlineLevel="1" x14ac:dyDescent="0.2">
      <c r="A145" s="170">
        <v>33482</v>
      </c>
      <c r="B145" s="154">
        <v>1242204</v>
      </c>
      <c r="C145" s="154">
        <v>1209925</v>
      </c>
      <c r="D145" s="155">
        <v>32279</v>
      </c>
      <c r="E145" s="164">
        <f t="shared" si="27"/>
        <v>0.60128624850395607</v>
      </c>
      <c r="F145" s="155">
        <f t="shared" si="28"/>
        <v>701309</v>
      </c>
      <c r="G145" s="155">
        <v>6101913</v>
      </c>
      <c r="H145" s="8"/>
      <c r="I145" s="8" t="s">
        <v>110</v>
      </c>
      <c r="J145" s="8" t="s">
        <v>111</v>
      </c>
      <c r="K145" s="1" t="s">
        <v>113</v>
      </c>
      <c r="P145" s="111">
        <v>309849105</v>
      </c>
      <c r="Q145" s="113">
        <f t="shared" si="25"/>
        <v>309849.10499999998</v>
      </c>
      <c r="R145" s="112">
        <f t="shared" si="26"/>
        <v>5.0779010615195595E-2</v>
      </c>
    </row>
    <row r="146" spans="1:18" outlineLevel="1" x14ac:dyDescent="0.2">
      <c r="A146" s="170">
        <v>33512</v>
      </c>
      <c r="B146" s="154">
        <v>1891693</v>
      </c>
      <c r="C146" s="154">
        <v>1815932</v>
      </c>
      <c r="D146" s="155">
        <v>75761</v>
      </c>
      <c r="E146" s="164">
        <f t="shared" si="27"/>
        <v>1.2415942344638478</v>
      </c>
      <c r="F146" s="155">
        <f t="shared" si="28"/>
        <v>1039704</v>
      </c>
      <c r="G146" s="155">
        <v>7217378</v>
      </c>
      <c r="H146" s="8"/>
      <c r="I146" s="8" t="s">
        <v>110</v>
      </c>
      <c r="J146" s="8" t="s">
        <v>111</v>
      </c>
      <c r="K146" s="1" t="s">
        <v>113</v>
      </c>
      <c r="P146" s="111">
        <v>368574224</v>
      </c>
      <c r="Q146" s="113">
        <f t="shared" si="25"/>
        <v>368574.22399999999</v>
      </c>
      <c r="R146" s="112">
        <f t="shared" si="26"/>
        <v>5.1067607100528753E-2</v>
      </c>
    </row>
    <row r="147" spans="1:18" outlineLevel="1" x14ac:dyDescent="0.2">
      <c r="A147" s="170">
        <v>33543</v>
      </c>
      <c r="B147" s="154">
        <v>2316550</v>
      </c>
      <c r="C147" s="154">
        <v>2085796</v>
      </c>
      <c r="D147" s="155">
        <v>230754</v>
      </c>
      <c r="E147" s="164">
        <f t="shared" si="27"/>
        <v>3.1971998695371089</v>
      </c>
      <c r="F147" s="155">
        <f t="shared" si="28"/>
        <v>1621832</v>
      </c>
      <c r="G147" s="155">
        <v>9069964</v>
      </c>
      <c r="H147" s="8"/>
      <c r="I147" s="8" t="s">
        <v>110</v>
      </c>
      <c r="J147" s="8" t="s">
        <v>111</v>
      </c>
      <c r="K147" s="1" t="s">
        <v>113</v>
      </c>
      <c r="P147" s="111">
        <v>465976593</v>
      </c>
      <c r="Q147" s="113">
        <f t="shared" si="25"/>
        <v>465976.59299999999</v>
      </c>
      <c r="R147" s="112">
        <f t="shared" si="26"/>
        <v>5.1375793002044992E-2</v>
      </c>
    </row>
    <row r="148" spans="1:18" outlineLevel="1" x14ac:dyDescent="0.2">
      <c r="A148" s="170">
        <v>33573</v>
      </c>
      <c r="B148" s="154">
        <v>4768623</v>
      </c>
      <c r="C148" s="154">
        <v>2785799</v>
      </c>
      <c r="D148" s="155">
        <v>1982824</v>
      </c>
      <c r="E148" s="164">
        <f t="shared" si="27"/>
        <v>21.861431864558671</v>
      </c>
      <c r="F148" s="155">
        <f t="shared" si="28"/>
        <v>2651770</v>
      </c>
      <c r="G148" s="155">
        <v>13704558</v>
      </c>
      <c r="H148" s="8"/>
      <c r="I148" s="8" t="s">
        <v>110</v>
      </c>
      <c r="J148" s="8" t="s">
        <v>111</v>
      </c>
      <c r="K148" s="1" t="s">
        <v>113</v>
      </c>
      <c r="P148" s="111">
        <v>755056952</v>
      </c>
      <c r="Q148" s="113">
        <f t="shared" si="25"/>
        <v>755056.95200000005</v>
      </c>
      <c r="R148" s="112">
        <f t="shared" si="26"/>
        <v>5.5095315879578173E-2</v>
      </c>
    </row>
    <row r="149" spans="1:18" x14ac:dyDescent="0.2">
      <c r="A149" s="151" t="s">
        <v>26</v>
      </c>
      <c r="B149" s="152">
        <f>SUM(B137:B148)</f>
        <v>15627661</v>
      </c>
      <c r="C149" s="152">
        <f>SUM(C137:C148)</f>
        <v>12867356</v>
      </c>
      <c r="D149" s="152">
        <f>SUM(D137:D148)</f>
        <v>2760305</v>
      </c>
      <c r="E149" s="163">
        <f>(D149/G136*100)</f>
        <v>134.72946774073887</v>
      </c>
      <c r="F149" s="152">
        <f>SUM(F137:F148)</f>
        <v>8895477</v>
      </c>
      <c r="G149" s="153">
        <f>G148</f>
        <v>13704558</v>
      </c>
      <c r="I149" s="8" t="s">
        <v>110</v>
      </c>
      <c r="J149" s="8" t="s">
        <v>111</v>
      </c>
      <c r="K149" s="1" t="s">
        <v>113</v>
      </c>
    </row>
    <row r="150" spans="1:18" ht="20.100000000000001" customHeight="1" outlineLevel="1" x14ac:dyDescent="0.2">
      <c r="A150" s="170">
        <v>33604</v>
      </c>
      <c r="B150" s="154">
        <v>2977303</v>
      </c>
      <c r="C150" s="154">
        <v>2941508</v>
      </c>
      <c r="D150" s="155">
        <v>35795</v>
      </c>
      <c r="E150" s="164">
        <f>D150/G148*100</f>
        <v>0.26119047400142348</v>
      </c>
      <c r="F150" s="155">
        <f>(G150-G148)-D150</f>
        <v>3450725</v>
      </c>
      <c r="G150" s="155">
        <v>17191078</v>
      </c>
      <c r="I150" s="8" t="s">
        <v>110</v>
      </c>
      <c r="J150" s="8" t="s">
        <v>111</v>
      </c>
      <c r="K150" s="1" t="s">
        <v>113</v>
      </c>
    </row>
    <row r="151" spans="1:18" outlineLevel="1" x14ac:dyDescent="0.2">
      <c r="A151" s="170">
        <v>33635</v>
      </c>
      <c r="B151" s="154">
        <v>3360095</v>
      </c>
      <c r="C151" s="154">
        <v>2943811</v>
      </c>
      <c r="D151" s="155">
        <v>416284</v>
      </c>
      <c r="E151" s="164">
        <f t="shared" ref="E151:E161" si="29">D151/G150*100</f>
        <v>2.4215119028603094</v>
      </c>
      <c r="F151" s="155">
        <f t="shared" ref="F151:F161" si="30">(G151-G150)-D151</f>
        <v>4530637</v>
      </c>
      <c r="G151" s="155">
        <v>22137999</v>
      </c>
      <c r="I151" s="8" t="s">
        <v>110</v>
      </c>
      <c r="J151" s="8" t="s">
        <v>111</v>
      </c>
      <c r="K151" s="1" t="s">
        <v>113</v>
      </c>
    </row>
    <row r="152" spans="1:18" outlineLevel="1" x14ac:dyDescent="0.2">
      <c r="A152" s="170">
        <v>33664</v>
      </c>
      <c r="B152" s="154">
        <v>3625679</v>
      </c>
      <c r="C152" s="154">
        <v>3726135</v>
      </c>
      <c r="D152" s="155">
        <v>-100456</v>
      </c>
      <c r="E152" s="164">
        <f t="shared" si="29"/>
        <v>-0.45377181560085894</v>
      </c>
      <c r="F152" s="155">
        <f t="shared" si="30"/>
        <v>5304101</v>
      </c>
      <c r="G152" s="155">
        <v>27341644</v>
      </c>
      <c r="I152" s="8" t="s">
        <v>110</v>
      </c>
      <c r="J152" s="8" t="s">
        <v>111</v>
      </c>
      <c r="K152" s="1" t="s">
        <v>113</v>
      </c>
    </row>
    <row r="153" spans="1:18" outlineLevel="1" x14ac:dyDescent="0.2">
      <c r="A153" s="170">
        <v>33695</v>
      </c>
      <c r="B153" s="154">
        <v>5488320</v>
      </c>
      <c r="C153" s="154">
        <v>4349642</v>
      </c>
      <c r="D153" s="155">
        <v>1138678</v>
      </c>
      <c r="E153" s="164">
        <f t="shared" si="29"/>
        <v>4.1646288716216189</v>
      </c>
      <c r="F153" s="155">
        <f t="shared" si="30"/>
        <v>6725728</v>
      </c>
      <c r="G153" s="155">
        <v>35206050</v>
      </c>
      <c r="I153" s="8" t="s">
        <v>110</v>
      </c>
      <c r="J153" s="8" t="s">
        <v>111</v>
      </c>
      <c r="K153" s="1" t="s">
        <v>113</v>
      </c>
    </row>
    <row r="154" spans="1:18" outlineLevel="1" x14ac:dyDescent="0.2">
      <c r="A154" s="170">
        <v>33725</v>
      </c>
      <c r="B154" s="154">
        <v>5089354</v>
      </c>
      <c r="C154" s="154">
        <v>6104037</v>
      </c>
      <c r="D154" s="155">
        <v>-1014683</v>
      </c>
      <c r="E154" s="164">
        <f t="shared" si="29"/>
        <v>-2.882126793548268</v>
      </c>
      <c r="F154" s="155">
        <f t="shared" si="30"/>
        <v>6912395</v>
      </c>
      <c r="G154" s="155">
        <v>41103762</v>
      </c>
      <c r="I154" s="8" t="s">
        <v>110</v>
      </c>
      <c r="J154" s="8" t="s">
        <v>111</v>
      </c>
      <c r="K154" s="1" t="s">
        <v>113</v>
      </c>
    </row>
    <row r="155" spans="1:18" outlineLevel="1" x14ac:dyDescent="0.2">
      <c r="A155" s="170">
        <v>33756</v>
      </c>
      <c r="B155" s="154">
        <v>7600297</v>
      </c>
      <c r="C155" s="154">
        <v>7004026</v>
      </c>
      <c r="D155" s="155">
        <v>596271</v>
      </c>
      <c r="E155" s="164">
        <f t="shared" si="29"/>
        <v>1.4506482399348264</v>
      </c>
      <c r="F155" s="155">
        <f t="shared" si="30"/>
        <v>8871242</v>
      </c>
      <c r="G155" s="155">
        <v>50571275</v>
      </c>
      <c r="I155" s="8" t="s">
        <v>110</v>
      </c>
      <c r="J155" s="8" t="s">
        <v>111</v>
      </c>
      <c r="K155" s="1" t="s">
        <v>113</v>
      </c>
    </row>
    <row r="156" spans="1:18" outlineLevel="1" x14ac:dyDescent="0.2">
      <c r="A156" s="170">
        <v>33786</v>
      </c>
      <c r="B156" s="154">
        <v>10466790</v>
      </c>
      <c r="C156" s="154">
        <v>10002640</v>
      </c>
      <c r="D156" s="155">
        <v>464150</v>
      </c>
      <c r="E156" s="164">
        <f t="shared" si="29"/>
        <v>0.91781352160885799</v>
      </c>
      <c r="F156" s="155">
        <f t="shared" si="30"/>
        <v>10568069</v>
      </c>
      <c r="G156" s="155">
        <v>61603494</v>
      </c>
      <c r="I156" s="8" t="s">
        <v>110</v>
      </c>
      <c r="J156" s="8" t="s">
        <v>111</v>
      </c>
      <c r="K156" s="1" t="s">
        <v>113</v>
      </c>
    </row>
    <row r="157" spans="1:18" outlineLevel="1" x14ac:dyDescent="0.2">
      <c r="A157" s="170">
        <v>33817</v>
      </c>
      <c r="B157" s="154">
        <v>13688156</v>
      </c>
      <c r="C157" s="154">
        <v>12961374</v>
      </c>
      <c r="D157" s="155">
        <v>726782</v>
      </c>
      <c r="E157" s="164">
        <f t="shared" si="29"/>
        <v>1.179773991390813</v>
      </c>
      <c r="F157" s="155">
        <f t="shared" si="30"/>
        <v>14471483</v>
      </c>
      <c r="G157" s="155">
        <v>76801759</v>
      </c>
      <c r="I157" s="8" t="s">
        <v>110</v>
      </c>
      <c r="J157" s="8" t="s">
        <v>111</v>
      </c>
      <c r="K157" s="1" t="s">
        <v>113</v>
      </c>
    </row>
    <row r="158" spans="1:18" outlineLevel="1" x14ac:dyDescent="0.2">
      <c r="A158" s="170">
        <v>33848</v>
      </c>
      <c r="B158" s="154">
        <v>18867869</v>
      </c>
      <c r="C158" s="154">
        <v>17483054</v>
      </c>
      <c r="D158" s="155">
        <v>1384815</v>
      </c>
      <c r="E158" s="164">
        <f t="shared" si="29"/>
        <v>1.8031032336121366</v>
      </c>
      <c r="F158" s="155">
        <f t="shared" si="30"/>
        <v>18831998</v>
      </c>
      <c r="G158" s="155">
        <v>97018572</v>
      </c>
      <c r="I158" s="8" t="s">
        <v>110</v>
      </c>
      <c r="J158" s="8" t="s">
        <v>111</v>
      </c>
      <c r="K158" s="1" t="s">
        <v>113</v>
      </c>
    </row>
    <row r="159" spans="1:18" outlineLevel="1" x14ac:dyDescent="0.2">
      <c r="A159" s="170">
        <v>33878</v>
      </c>
      <c r="B159" s="154">
        <v>25057259</v>
      </c>
      <c r="C159" s="154">
        <v>21507063</v>
      </c>
      <c r="D159" s="155">
        <v>3550196</v>
      </c>
      <c r="E159" s="164">
        <f t="shared" si="29"/>
        <v>3.6592952532840823</v>
      </c>
      <c r="F159" s="155">
        <f t="shared" si="30"/>
        <v>24262277</v>
      </c>
      <c r="G159" s="155">
        <v>124831045</v>
      </c>
      <c r="I159" s="8" t="s">
        <v>110</v>
      </c>
      <c r="J159" s="8" t="s">
        <v>111</v>
      </c>
      <c r="K159" s="1" t="s">
        <v>113</v>
      </c>
    </row>
    <row r="160" spans="1:18" outlineLevel="1" x14ac:dyDescent="0.2">
      <c r="A160" s="170">
        <v>33909</v>
      </c>
      <c r="B160" s="154">
        <v>32550119</v>
      </c>
      <c r="C160" s="154">
        <v>30970743</v>
      </c>
      <c r="D160" s="155">
        <v>1579376</v>
      </c>
      <c r="E160" s="164">
        <f t="shared" si="29"/>
        <v>1.2652109096739517</v>
      </c>
      <c r="F160" s="155">
        <f t="shared" si="30"/>
        <v>30709273</v>
      </c>
      <c r="G160" s="155">
        <v>157119694</v>
      </c>
      <c r="I160" s="8" t="s">
        <v>110</v>
      </c>
      <c r="J160" s="8" t="s">
        <v>111</v>
      </c>
      <c r="K160" s="1" t="s">
        <v>113</v>
      </c>
    </row>
    <row r="161" spans="1:13" outlineLevel="1" x14ac:dyDescent="0.2">
      <c r="A161" s="170">
        <v>33939</v>
      </c>
      <c r="B161" s="154">
        <v>52546288</v>
      </c>
      <c r="C161" s="154">
        <v>41454294</v>
      </c>
      <c r="D161" s="155">
        <v>11091994</v>
      </c>
      <c r="E161" s="164">
        <f t="shared" si="29"/>
        <v>7.0595822316201815</v>
      </c>
      <c r="F161" s="155">
        <f t="shared" si="30"/>
        <v>37697312</v>
      </c>
      <c r="G161" s="155">
        <v>205909000</v>
      </c>
      <c r="I161" s="8" t="s">
        <v>110</v>
      </c>
      <c r="J161" s="8" t="s">
        <v>111</v>
      </c>
      <c r="K161" s="1" t="s">
        <v>113</v>
      </c>
    </row>
    <row r="162" spans="1:13" x14ac:dyDescent="0.2">
      <c r="A162" s="151" t="s">
        <v>27</v>
      </c>
      <c r="B162" s="152">
        <f>SUM(B150:B161)</f>
        <v>181317529</v>
      </c>
      <c r="C162" s="152">
        <f>SUM(C150:C161)</f>
        <v>161448327</v>
      </c>
      <c r="D162" s="152">
        <f>SUM(D150:D161)</f>
        <v>19869202</v>
      </c>
      <c r="E162" s="163">
        <f>(D162/G149*100)</f>
        <v>144.98243577063923</v>
      </c>
      <c r="F162" s="152">
        <f>SUM(F150:F161)</f>
        <v>172335240</v>
      </c>
      <c r="G162" s="153">
        <f>G161</f>
        <v>205909000</v>
      </c>
      <c r="I162" s="8" t="s">
        <v>110</v>
      </c>
      <c r="J162" s="8" t="s">
        <v>111</v>
      </c>
      <c r="K162" s="1" t="s">
        <v>113</v>
      </c>
    </row>
    <row r="163" spans="1:13" ht="20.100000000000001" customHeight="1" outlineLevel="1" x14ac:dyDescent="0.2">
      <c r="A163" s="170">
        <v>33970</v>
      </c>
      <c r="B163" s="154">
        <v>52193207</v>
      </c>
      <c r="C163" s="154">
        <v>51862829</v>
      </c>
      <c r="D163" s="155">
        <v>330378</v>
      </c>
      <c r="E163" s="164">
        <f>D163/G163*100</f>
        <v>0.12988812133465488</v>
      </c>
      <c r="F163" s="155">
        <f>(G163-G161)-D163</f>
        <v>48116445</v>
      </c>
      <c r="G163" s="155">
        <v>254355823</v>
      </c>
      <c r="I163" s="8" t="s">
        <v>110</v>
      </c>
      <c r="J163" s="8" t="s">
        <v>111</v>
      </c>
      <c r="K163" s="1" t="s">
        <v>113</v>
      </c>
    </row>
    <row r="164" spans="1:13" outlineLevel="1" x14ac:dyDescent="0.2">
      <c r="A164" s="170">
        <v>34001</v>
      </c>
      <c r="B164" s="154">
        <v>81484568</v>
      </c>
      <c r="C164" s="154">
        <v>58356751</v>
      </c>
      <c r="D164" s="155">
        <v>23127817</v>
      </c>
      <c r="E164" s="164">
        <f t="shared" ref="E164:E169" si="31">D164/G163*100</f>
        <v>9.0927019980195229</v>
      </c>
      <c r="F164" s="155">
        <f t="shared" ref="F164:F169" si="32">(G164-G163)-D164</f>
        <v>73899966</v>
      </c>
      <c r="G164" s="155">
        <v>351383606</v>
      </c>
      <c r="I164" s="8" t="s">
        <v>110</v>
      </c>
      <c r="J164" s="8" t="s">
        <v>111</v>
      </c>
      <c r="K164" s="1" t="s">
        <v>113</v>
      </c>
    </row>
    <row r="165" spans="1:13" outlineLevel="1" x14ac:dyDescent="0.2">
      <c r="A165" s="170">
        <v>34029</v>
      </c>
      <c r="B165" s="154">
        <v>98995003</v>
      </c>
      <c r="C165" s="154">
        <v>102421377</v>
      </c>
      <c r="D165" s="155">
        <v>-3426374</v>
      </c>
      <c r="E165" s="164">
        <f t="shared" si="31"/>
        <v>-0.97510923716799691</v>
      </c>
      <c r="F165" s="155">
        <f t="shared" si="32"/>
        <v>90304495</v>
      </c>
      <c r="G165" s="155">
        <v>438261727</v>
      </c>
      <c r="I165" s="8" t="s">
        <v>110</v>
      </c>
      <c r="J165" s="8" t="s">
        <v>111</v>
      </c>
      <c r="K165" s="1" t="s">
        <v>113</v>
      </c>
    </row>
    <row r="166" spans="1:13" outlineLevel="1" x14ac:dyDescent="0.2">
      <c r="A166" s="170">
        <v>34060</v>
      </c>
      <c r="B166" s="154">
        <v>108270685</v>
      </c>
      <c r="C166" s="154">
        <v>112273066</v>
      </c>
      <c r="D166" s="155">
        <v>-4002381</v>
      </c>
      <c r="E166" s="164">
        <f t="shared" si="31"/>
        <v>-0.91323990972179969</v>
      </c>
      <c r="F166" s="155">
        <f t="shared" si="32"/>
        <v>112061383</v>
      </c>
      <c r="G166" s="155">
        <v>546320729</v>
      </c>
      <c r="I166" s="8" t="s">
        <v>110</v>
      </c>
      <c r="J166" s="8" t="s">
        <v>111</v>
      </c>
      <c r="K166" s="1" t="s">
        <v>113</v>
      </c>
    </row>
    <row r="167" spans="1:13" outlineLevel="1" x14ac:dyDescent="0.2">
      <c r="A167" s="170">
        <v>34090</v>
      </c>
      <c r="B167" s="154">
        <v>170888893</v>
      </c>
      <c r="C167" s="154">
        <v>129211705</v>
      </c>
      <c r="D167" s="155">
        <v>41677188</v>
      </c>
      <c r="E167" s="164">
        <f t="shared" si="31"/>
        <v>7.6287033948514145</v>
      </c>
      <c r="F167" s="155">
        <f t="shared" si="32"/>
        <v>149448106</v>
      </c>
      <c r="G167" s="155">
        <v>737446023</v>
      </c>
      <c r="I167" s="8" t="s">
        <v>110</v>
      </c>
      <c r="J167" s="8" t="s">
        <v>111</v>
      </c>
      <c r="K167" s="1" t="s">
        <v>113</v>
      </c>
    </row>
    <row r="168" spans="1:13" outlineLevel="1" x14ac:dyDescent="0.2">
      <c r="A168" s="170">
        <v>34121</v>
      </c>
      <c r="B168" s="154">
        <v>212981978</v>
      </c>
      <c r="C168" s="154">
        <v>182573506</v>
      </c>
      <c r="D168" s="155">
        <v>30408472</v>
      </c>
      <c r="E168" s="164">
        <f t="shared" si="31"/>
        <v>4.1234844383993652</v>
      </c>
      <c r="F168" s="155">
        <f t="shared" si="32"/>
        <v>217660384</v>
      </c>
      <c r="G168" s="155">
        <v>985514879</v>
      </c>
      <c r="I168" s="8" t="s">
        <v>110</v>
      </c>
      <c r="J168" s="8" t="s">
        <v>111</v>
      </c>
      <c r="K168" s="1" t="s">
        <v>113</v>
      </c>
    </row>
    <row r="169" spans="1:13" outlineLevel="1" x14ac:dyDescent="0.2">
      <c r="A169" s="170">
        <v>34151</v>
      </c>
      <c r="B169" s="154">
        <v>274906547</v>
      </c>
      <c r="C169" s="154">
        <v>246876515</v>
      </c>
      <c r="D169" s="155">
        <v>28030032</v>
      </c>
      <c r="E169" s="164">
        <f t="shared" si="31"/>
        <v>2.8442018073275581</v>
      </c>
      <c r="F169" s="155">
        <f t="shared" si="32"/>
        <v>286812413</v>
      </c>
      <c r="G169" s="155">
        <v>1300357324</v>
      </c>
      <c r="I169" s="8" t="s">
        <v>110</v>
      </c>
      <c r="J169" s="8" t="s">
        <v>111</v>
      </c>
      <c r="K169" s="1" t="s">
        <v>113</v>
      </c>
    </row>
    <row r="170" spans="1:13" outlineLevel="1" x14ac:dyDescent="0.2">
      <c r="A170" s="170">
        <v>34182</v>
      </c>
      <c r="B170" s="154">
        <v>492796</v>
      </c>
      <c r="C170" s="154">
        <v>458604</v>
      </c>
      <c r="D170" s="155">
        <v>34192</v>
      </c>
      <c r="E170" s="164">
        <f>D170/(G169/1000)*100</f>
        <v>2.6294311085835047</v>
      </c>
      <c r="F170" s="155">
        <f>(G170-(G169/1000))-D170</f>
        <v>408617.67599999998</v>
      </c>
      <c r="G170" s="155">
        <v>1743167</v>
      </c>
      <c r="I170" s="115" t="s">
        <v>116</v>
      </c>
      <c r="J170" s="115" t="s">
        <v>117</v>
      </c>
      <c r="K170" s="116" t="s">
        <v>113</v>
      </c>
    </row>
    <row r="171" spans="1:13" outlineLevel="1" x14ac:dyDescent="0.2">
      <c r="A171" s="170">
        <v>34213</v>
      </c>
      <c r="B171" s="154">
        <v>533464</v>
      </c>
      <c r="C171" s="154">
        <v>498220</v>
      </c>
      <c r="D171" s="155">
        <v>35244</v>
      </c>
      <c r="E171" s="164">
        <f>D171/G170*100</f>
        <v>2.0218372651616283</v>
      </c>
      <c r="F171" s="155">
        <f>(G171-G170)-D171</f>
        <v>575784</v>
      </c>
      <c r="G171" s="155">
        <v>2354195</v>
      </c>
      <c r="I171" s="114" t="s">
        <v>116</v>
      </c>
      <c r="J171" s="8" t="s">
        <v>117</v>
      </c>
      <c r="K171" s="1" t="s">
        <v>113</v>
      </c>
    </row>
    <row r="172" spans="1:13" outlineLevel="1" x14ac:dyDescent="0.2">
      <c r="A172" s="170">
        <v>34243</v>
      </c>
      <c r="B172" s="154">
        <v>731305</v>
      </c>
      <c r="C172" s="154">
        <v>588049</v>
      </c>
      <c r="D172" s="155">
        <v>143256</v>
      </c>
      <c r="E172" s="164">
        <f>D172/G171*100</f>
        <v>6.0851373824173445</v>
      </c>
      <c r="F172" s="155">
        <f>(G172-G171)-D172</f>
        <v>840184</v>
      </c>
      <c r="G172" s="155">
        <v>3337635</v>
      </c>
      <c r="I172" s="114" t="s">
        <v>116</v>
      </c>
      <c r="J172" s="8" t="s">
        <v>117</v>
      </c>
      <c r="K172" s="1" t="s">
        <v>113</v>
      </c>
    </row>
    <row r="173" spans="1:13" outlineLevel="1" x14ac:dyDescent="0.2">
      <c r="A173" s="170">
        <v>34274</v>
      </c>
      <c r="B173" s="154">
        <v>981650</v>
      </c>
      <c r="C173" s="154">
        <v>846078</v>
      </c>
      <c r="D173" s="155">
        <v>135572</v>
      </c>
      <c r="E173" s="164">
        <f>D173/G172*100</f>
        <v>4.0619180946987914</v>
      </c>
      <c r="F173" s="155">
        <f>(G173-G172)-D173</f>
        <v>1236174</v>
      </c>
      <c r="G173" s="155">
        <v>4709381</v>
      </c>
      <c r="I173" s="114" t="s">
        <v>116</v>
      </c>
      <c r="J173" s="8" t="s">
        <v>117</v>
      </c>
      <c r="K173" s="1" t="s">
        <v>113</v>
      </c>
    </row>
    <row r="174" spans="1:13" outlineLevel="1" x14ac:dyDescent="0.2">
      <c r="A174" s="170">
        <v>34304</v>
      </c>
      <c r="B174" s="154">
        <v>2082613</v>
      </c>
      <c r="C174" s="154">
        <v>1307781</v>
      </c>
      <c r="D174" s="155">
        <v>774832</v>
      </c>
      <c r="E174" s="164">
        <f>D174/G173*100</f>
        <v>16.452947850258877</v>
      </c>
      <c r="F174" s="155">
        <f>(G174-G173)-D174</f>
        <v>1664629</v>
      </c>
      <c r="G174" s="155">
        <v>7148842</v>
      </c>
      <c r="I174" s="114" t="s">
        <v>116</v>
      </c>
      <c r="J174" s="8" t="s">
        <v>117</v>
      </c>
      <c r="K174" s="1" t="s">
        <v>113</v>
      </c>
    </row>
    <row r="175" spans="1:13" x14ac:dyDescent="0.2">
      <c r="A175" s="151" t="s">
        <v>28</v>
      </c>
      <c r="B175" s="152">
        <f>SUM(B163:B174)</f>
        <v>1004542709</v>
      </c>
      <c r="C175" s="152">
        <f>SUM(C163:C174)</f>
        <v>887274481</v>
      </c>
      <c r="D175" s="152">
        <f>SUM(D163:D174)</f>
        <v>117268228</v>
      </c>
      <c r="E175" s="163">
        <f>(D175/G162*100)</f>
        <v>56.951482450985623</v>
      </c>
      <c r="F175" s="152">
        <f>SUM(F163:F174)</f>
        <v>983028580.676</v>
      </c>
      <c r="G175" s="153">
        <f>G174</f>
        <v>7148842</v>
      </c>
      <c r="I175" s="114" t="s">
        <v>116</v>
      </c>
      <c r="J175" s="8" t="s">
        <v>117</v>
      </c>
      <c r="K175" s="1" t="s">
        <v>113</v>
      </c>
    </row>
    <row r="176" spans="1:13" ht="20.100000000000001" customHeight="1" outlineLevel="1" x14ac:dyDescent="0.2">
      <c r="A176" s="170">
        <v>34335</v>
      </c>
      <c r="B176" s="154">
        <v>2142398</v>
      </c>
      <c r="C176" s="154">
        <v>1599498</v>
      </c>
      <c r="D176" s="155">
        <v>542900</v>
      </c>
      <c r="E176" s="164">
        <f>D176/G174*100</f>
        <v>7.5942369407520829</v>
      </c>
      <c r="F176" s="155">
        <f>(G176-G174)-D176</f>
        <v>2748280</v>
      </c>
      <c r="G176" s="155">
        <v>10440022</v>
      </c>
      <c r="I176" s="114" t="s">
        <v>116</v>
      </c>
      <c r="J176" s="8" t="s">
        <v>117</v>
      </c>
      <c r="K176" s="1" t="s">
        <v>113</v>
      </c>
      <c r="M176" s="8"/>
    </row>
    <row r="177" spans="1:15" outlineLevel="1" x14ac:dyDescent="0.2">
      <c r="A177" s="170">
        <v>34366</v>
      </c>
      <c r="B177" s="154">
        <v>1883525</v>
      </c>
      <c r="C177" s="154">
        <v>2185352</v>
      </c>
      <c r="D177" s="155">
        <v>-301827</v>
      </c>
      <c r="E177" s="164">
        <f>D177/G176*100</f>
        <v>-2.8910571261248301</v>
      </c>
      <c r="F177" s="155">
        <f>(G177-G176)-D177</f>
        <v>4599787</v>
      </c>
      <c r="G177" s="155">
        <v>14737982</v>
      </c>
      <c r="I177" s="114" t="s">
        <v>116</v>
      </c>
      <c r="J177" s="8" t="s">
        <v>117</v>
      </c>
      <c r="K177" s="1" t="s">
        <v>113</v>
      </c>
      <c r="M177" s="8"/>
    </row>
    <row r="178" spans="1:15" outlineLevel="1" x14ac:dyDescent="0.2">
      <c r="A178" s="170">
        <v>34394</v>
      </c>
      <c r="B178" s="154">
        <v>3342627</v>
      </c>
      <c r="C178" s="154">
        <v>3307830</v>
      </c>
      <c r="D178" s="155">
        <v>34797</v>
      </c>
      <c r="E178" s="164">
        <f>D178/G177*100</f>
        <v>0.23610423733724195</v>
      </c>
      <c r="F178" s="155">
        <f>(G178-G177)-D178</f>
        <v>5584268</v>
      </c>
      <c r="G178" s="155">
        <v>20357047</v>
      </c>
      <c r="I178" s="114" t="s">
        <v>116</v>
      </c>
      <c r="J178" s="8" t="s">
        <v>117</v>
      </c>
      <c r="K178" s="1" t="s">
        <v>113</v>
      </c>
      <c r="M178" s="8"/>
    </row>
    <row r="179" spans="1:15" outlineLevel="1" x14ac:dyDescent="0.2">
      <c r="A179" s="170">
        <v>34425</v>
      </c>
      <c r="B179" s="154">
        <v>4821626</v>
      </c>
      <c r="C179" s="154">
        <v>4887072</v>
      </c>
      <c r="D179" s="155">
        <v>-65446</v>
      </c>
      <c r="E179" s="164">
        <f>D179/G178*100</f>
        <v>-0.32149063663310301</v>
      </c>
      <c r="F179" s="155">
        <f>(G179-G178)-D179</f>
        <v>8717555</v>
      </c>
      <c r="G179" s="155">
        <v>29009156</v>
      </c>
      <c r="I179" s="114" t="s">
        <v>116</v>
      </c>
      <c r="J179" s="8" t="s">
        <v>117</v>
      </c>
      <c r="K179" s="1" t="s">
        <v>113</v>
      </c>
      <c r="M179" s="8"/>
    </row>
    <row r="180" spans="1:15" outlineLevel="1" x14ac:dyDescent="0.2">
      <c r="A180" s="170">
        <v>34455</v>
      </c>
      <c r="B180" s="154">
        <v>7438709</v>
      </c>
      <c r="C180" s="154">
        <v>6904443</v>
      </c>
      <c r="D180" s="155">
        <v>534266</v>
      </c>
      <c r="E180" s="164">
        <f>D180/G179*100</f>
        <v>1.8417150778188791</v>
      </c>
      <c r="F180" s="155">
        <f>(G180-G179)-D180</f>
        <v>13673033</v>
      </c>
      <c r="G180" s="155">
        <v>43216455</v>
      </c>
      <c r="I180" s="114" t="s">
        <v>116</v>
      </c>
      <c r="J180" s="8" t="s">
        <v>117</v>
      </c>
      <c r="K180" s="1" t="s">
        <v>113</v>
      </c>
      <c r="M180" s="8"/>
    </row>
    <row r="181" spans="1:15" outlineLevel="1" x14ac:dyDescent="0.2">
      <c r="A181" s="170">
        <v>34486</v>
      </c>
      <c r="B181" s="154">
        <v>12572409</v>
      </c>
      <c r="C181" s="154">
        <v>10809935</v>
      </c>
      <c r="D181" s="155">
        <v>1762474</v>
      </c>
      <c r="E181" s="164">
        <f>D181/G180*100</f>
        <v>4.0782475101208551</v>
      </c>
      <c r="F181" s="155">
        <f>(G181-G180)-D181</f>
        <v>20791205</v>
      </c>
      <c r="G181" s="155">
        <v>65770134</v>
      </c>
      <c r="I181" s="114" t="s">
        <v>116</v>
      </c>
      <c r="J181" s="8" t="s">
        <v>117</v>
      </c>
      <c r="K181" s="1" t="s">
        <v>113</v>
      </c>
      <c r="M181" s="8"/>
    </row>
    <row r="182" spans="1:15" outlineLevel="1" x14ac:dyDescent="0.2">
      <c r="A182" s="170">
        <v>34516</v>
      </c>
      <c r="B182" s="154">
        <f t="shared" ref="B182:B187" si="33">(C182+D182)</f>
        <v>8344.0460000000003</v>
      </c>
      <c r="C182" s="154">
        <v>6632</v>
      </c>
      <c r="D182" s="155">
        <v>1712.046</v>
      </c>
      <c r="E182" s="164">
        <f>(D182/(G181/2750)*100)</f>
        <v>7.1584566028100234</v>
      </c>
      <c r="F182" s="155">
        <f>(G182-(G181/2750))-D182</f>
        <v>7554.3026363636363</v>
      </c>
      <c r="G182" s="155">
        <v>33182.760999999999</v>
      </c>
      <c r="I182" s="115" t="s">
        <v>118</v>
      </c>
      <c r="J182" s="115" t="s">
        <v>119</v>
      </c>
      <c r="K182" s="116" t="s">
        <v>113</v>
      </c>
      <c r="O182" s="111"/>
    </row>
    <row r="183" spans="1:15" outlineLevel="1" x14ac:dyDescent="0.2">
      <c r="A183" s="170">
        <v>34547</v>
      </c>
      <c r="B183" s="154">
        <f t="shared" si="33"/>
        <v>6107.8050000000003</v>
      </c>
      <c r="C183" s="154">
        <v>6701</v>
      </c>
      <c r="D183" s="155">
        <v>-593.19500000000005</v>
      </c>
      <c r="E183" s="164">
        <f>(D183/G182*100)</f>
        <v>-1.7876601648669321</v>
      </c>
      <c r="F183" s="155">
        <f>(G183-G182)-D183</f>
        <v>1464.1679999999983</v>
      </c>
      <c r="G183" s="155">
        <v>34053.733999999997</v>
      </c>
      <c r="I183" s="1" t="s">
        <v>118</v>
      </c>
      <c r="J183" s="1" t="s">
        <v>119</v>
      </c>
      <c r="K183" s="1" t="s">
        <v>113</v>
      </c>
      <c r="M183" s="8"/>
    </row>
    <row r="184" spans="1:15" outlineLevel="1" x14ac:dyDescent="0.2">
      <c r="A184" s="170">
        <v>34578</v>
      </c>
      <c r="B184" s="154">
        <f t="shared" si="33"/>
        <v>7289</v>
      </c>
      <c r="C184" s="154">
        <v>8216</v>
      </c>
      <c r="D184" s="155">
        <v>-927</v>
      </c>
      <c r="E184" s="164">
        <f>(D184/G183*100)</f>
        <v>-2.7221684412053024</v>
      </c>
      <c r="F184" s="155">
        <f>(G184-G183)-D184</f>
        <v>872.97300000000541</v>
      </c>
      <c r="G184" s="155">
        <v>33999.707000000002</v>
      </c>
      <c r="I184" s="1" t="s">
        <v>118</v>
      </c>
      <c r="J184" s="1" t="s">
        <v>119</v>
      </c>
      <c r="K184" s="1" t="s">
        <v>113</v>
      </c>
      <c r="M184" s="8"/>
    </row>
    <row r="185" spans="1:15" outlineLevel="1" x14ac:dyDescent="0.2">
      <c r="A185" s="170">
        <v>34608</v>
      </c>
      <c r="B185" s="154">
        <f t="shared" si="33"/>
        <v>7659.26</v>
      </c>
      <c r="C185" s="154">
        <v>7922</v>
      </c>
      <c r="D185" s="155">
        <v>-262.74</v>
      </c>
      <c r="E185" s="164">
        <f>(D185/G184*100)</f>
        <v>-0.77277136535323665</v>
      </c>
      <c r="F185" s="155">
        <f>(G185-G184)-D185</f>
        <v>993.89699999999925</v>
      </c>
      <c r="G185" s="155">
        <v>34730.864000000001</v>
      </c>
      <c r="I185" s="1" t="s">
        <v>118</v>
      </c>
      <c r="J185" s="1" t="s">
        <v>119</v>
      </c>
      <c r="K185" s="1" t="s">
        <v>113</v>
      </c>
      <c r="M185" s="8"/>
    </row>
    <row r="186" spans="1:15" outlineLevel="1" x14ac:dyDescent="0.2">
      <c r="A186" s="170">
        <v>34639</v>
      </c>
      <c r="B186" s="154">
        <f t="shared" si="33"/>
        <v>8555.2970000000005</v>
      </c>
      <c r="C186" s="154">
        <v>8908</v>
      </c>
      <c r="D186" s="155">
        <v>-352.70299999999997</v>
      </c>
      <c r="E186" s="164">
        <f>(D186/G185*100)</f>
        <v>-1.0155318911732225</v>
      </c>
      <c r="F186" s="155">
        <f>(G186-G185)-D186</f>
        <v>1063.9109999999987</v>
      </c>
      <c r="G186" s="155">
        <v>35442.072</v>
      </c>
      <c r="I186" s="1" t="s">
        <v>118</v>
      </c>
      <c r="J186" s="1" t="s">
        <v>119</v>
      </c>
      <c r="K186" s="1" t="s">
        <v>113</v>
      </c>
      <c r="M186" s="8"/>
    </row>
    <row r="187" spans="1:15" outlineLevel="1" x14ac:dyDescent="0.2">
      <c r="A187" s="170">
        <v>34669</v>
      </c>
      <c r="B187" s="154">
        <f t="shared" si="33"/>
        <v>10455.285</v>
      </c>
      <c r="C187" s="154">
        <v>10208</v>
      </c>
      <c r="D187" s="155">
        <v>247.285</v>
      </c>
      <c r="E187" s="164">
        <f>(D187/G186*100)</f>
        <v>0.69771598003638158</v>
      </c>
      <c r="F187" s="155">
        <f>(G187-G186)-D187</f>
        <v>1194.5200000000002</v>
      </c>
      <c r="G187" s="155">
        <v>36883.877</v>
      </c>
      <c r="I187" s="1" t="s">
        <v>118</v>
      </c>
      <c r="J187" s="1" t="s">
        <v>119</v>
      </c>
      <c r="K187" s="1" t="s">
        <v>113</v>
      </c>
      <c r="M187" s="8"/>
    </row>
    <row r="188" spans="1:15" x14ac:dyDescent="0.2">
      <c r="A188" s="151" t="s">
        <v>29</v>
      </c>
      <c r="B188" s="152">
        <f>SUM(B176:B187)</f>
        <v>32249704.693</v>
      </c>
      <c r="C188" s="152">
        <f>SUM(C176:C187)</f>
        <v>29742717</v>
      </c>
      <c r="D188" s="152">
        <f>SUM(D176:D187)</f>
        <v>2506987.693</v>
      </c>
      <c r="E188" s="163">
        <f>(D188/G175*100)</f>
        <v>35.068444553677367</v>
      </c>
      <c r="F188" s="152">
        <f>SUM(F176:F187)</f>
        <v>56127271.771636359</v>
      </c>
      <c r="G188" s="153">
        <f>G187</f>
        <v>36883.877</v>
      </c>
      <c r="I188" s="1" t="s">
        <v>118</v>
      </c>
      <c r="J188" s="1" t="s">
        <v>119</v>
      </c>
      <c r="K188" s="1" t="s">
        <v>113</v>
      </c>
    </row>
    <row r="189" spans="1:15" ht="20.100000000000001" customHeight="1" outlineLevel="1" x14ac:dyDescent="0.2">
      <c r="A189" s="170">
        <v>34700</v>
      </c>
      <c r="B189" s="154">
        <f t="shared" ref="B189:B200" si="34">(C189+D189)</f>
        <v>12179.726000000001</v>
      </c>
      <c r="C189" s="154">
        <v>12767</v>
      </c>
      <c r="D189" s="155">
        <v>-587.274</v>
      </c>
      <c r="E189" s="164">
        <v>-1.55</v>
      </c>
      <c r="F189" s="155">
        <f>(G189-G187)-D189</f>
        <v>1040.1879999999969</v>
      </c>
      <c r="G189" s="155">
        <v>37336.790999999997</v>
      </c>
      <c r="I189" s="1" t="s">
        <v>118</v>
      </c>
      <c r="J189" s="1" t="s">
        <v>119</v>
      </c>
      <c r="K189" s="1" t="s">
        <v>113</v>
      </c>
      <c r="M189" s="8"/>
    </row>
    <row r="190" spans="1:15" outlineLevel="1" x14ac:dyDescent="0.2">
      <c r="A190" s="170">
        <v>34731</v>
      </c>
      <c r="B190" s="154">
        <f t="shared" si="34"/>
        <v>9131.4310000000005</v>
      </c>
      <c r="C190" s="154">
        <v>9633</v>
      </c>
      <c r="D190" s="155">
        <v>-501.56900000000002</v>
      </c>
      <c r="E190" s="164">
        <f t="shared" ref="E190:E200" si="35">(D190/G189*100)</f>
        <v>-1.3433639757632092</v>
      </c>
      <c r="F190" s="155">
        <f t="shared" ref="F190:F200" si="36">(G190-G189)-D190</f>
        <v>915.58199999999897</v>
      </c>
      <c r="G190" s="155">
        <v>37750.803999999996</v>
      </c>
      <c r="I190" s="1" t="s">
        <v>118</v>
      </c>
      <c r="J190" s="1" t="s">
        <v>119</v>
      </c>
      <c r="K190" s="1" t="s">
        <v>113</v>
      </c>
      <c r="M190" s="8"/>
    </row>
    <row r="191" spans="1:15" outlineLevel="1" x14ac:dyDescent="0.2">
      <c r="A191" s="170">
        <v>34759</v>
      </c>
      <c r="B191" s="154">
        <f t="shared" si="34"/>
        <v>11941.475</v>
      </c>
      <c r="C191" s="154">
        <v>12321</v>
      </c>
      <c r="D191" s="155">
        <v>-379.52499999999998</v>
      </c>
      <c r="E191" s="164">
        <f t="shared" si="35"/>
        <v>-1.0053428266057591</v>
      </c>
      <c r="F191" s="155">
        <f t="shared" si="36"/>
        <v>890.13000000000318</v>
      </c>
      <c r="G191" s="155">
        <v>38261.409</v>
      </c>
      <c r="I191" s="1" t="s">
        <v>118</v>
      </c>
      <c r="J191" s="1" t="s">
        <v>119</v>
      </c>
      <c r="K191" s="1" t="s">
        <v>113</v>
      </c>
      <c r="M191" s="8"/>
    </row>
    <row r="192" spans="1:15" outlineLevel="1" x14ac:dyDescent="0.2">
      <c r="A192" s="170">
        <v>34790</v>
      </c>
      <c r="B192" s="154">
        <f t="shared" si="34"/>
        <v>10310.123</v>
      </c>
      <c r="C192" s="154">
        <v>9977</v>
      </c>
      <c r="D192" s="155">
        <v>333.12299999999999</v>
      </c>
      <c r="E192" s="164">
        <f t="shared" si="35"/>
        <v>0.87065011118644375</v>
      </c>
      <c r="F192" s="155">
        <f t="shared" si="36"/>
        <v>1397.3219999999997</v>
      </c>
      <c r="G192" s="155">
        <v>39991.853999999999</v>
      </c>
      <c r="I192" s="1" t="s">
        <v>118</v>
      </c>
      <c r="J192" s="1" t="s">
        <v>119</v>
      </c>
      <c r="K192" s="1" t="s">
        <v>113</v>
      </c>
      <c r="M192" s="8"/>
    </row>
    <row r="193" spans="1:13" outlineLevel="1" x14ac:dyDescent="0.2">
      <c r="A193" s="170">
        <v>34820</v>
      </c>
      <c r="B193" s="154">
        <f t="shared" si="34"/>
        <v>11959.101000000001</v>
      </c>
      <c r="C193" s="154">
        <v>11573</v>
      </c>
      <c r="D193" s="155">
        <v>386.101</v>
      </c>
      <c r="E193" s="164">
        <f t="shared" si="35"/>
        <v>0.96544911371200748</v>
      </c>
      <c r="F193" s="155">
        <f t="shared" si="36"/>
        <v>1479.8120000000004</v>
      </c>
      <c r="G193" s="155">
        <v>41857.767</v>
      </c>
      <c r="I193" s="1" t="s">
        <v>118</v>
      </c>
      <c r="J193" s="1" t="s">
        <v>119</v>
      </c>
      <c r="K193" s="1" t="s">
        <v>113</v>
      </c>
      <c r="M193" s="8"/>
    </row>
    <row r="194" spans="1:13" outlineLevel="1" x14ac:dyDescent="0.2">
      <c r="A194" s="170">
        <v>34851</v>
      </c>
      <c r="B194" s="154">
        <f t="shared" si="34"/>
        <v>11586.999</v>
      </c>
      <c r="C194" s="154">
        <v>11239</v>
      </c>
      <c r="D194" s="155">
        <v>347.99900000000002</v>
      </c>
      <c r="E194" s="164">
        <f t="shared" si="35"/>
        <v>0.8313845313344117</v>
      </c>
      <c r="F194" s="155">
        <f t="shared" si="36"/>
        <v>1459.5629999999981</v>
      </c>
      <c r="G194" s="155">
        <v>43665.328999999998</v>
      </c>
      <c r="I194" s="1" t="s">
        <v>118</v>
      </c>
      <c r="J194" s="1" t="s">
        <v>119</v>
      </c>
      <c r="K194" s="1" t="s">
        <v>113</v>
      </c>
      <c r="M194" s="8"/>
    </row>
    <row r="195" spans="1:13" outlineLevel="1" x14ac:dyDescent="0.2">
      <c r="A195" s="170">
        <v>34881</v>
      </c>
      <c r="B195" s="154">
        <f t="shared" si="34"/>
        <v>11205.583000000001</v>
      </c>
      <c r="C195" s="154">
        <v>10900</v>
      </c>
      <c r="D195" s="155">
        <v>305.58300000000003</v>
      </c>
      <c r="E195" s="164">
        <f t="shared" si="35"/>
        <v>0.69982983524525844</v>
      </c>
      <c r="F195" s="155">
        <f t="shared" si="36"/>
        <v>1448.1350000000007</v>
      </c>
      <c r="G195" s="155">
        <v>45419.046999999999</v>
      </c>
      <c r="I195" s="1" t="s">
        <v>118</v>
      </c>
      <c r="J195" s="1" t="s">
        <v>119</v>
      </c>
      <c r="K195" s="1" t="s">
        <v>113</v>
      </c>
      <c r="M195" s="8"/>
    </row>
    <row r="196" spans="1:13" outlineLevel="1" x14ac:dyDescent="0.2">
      <c r="A196" s="170">
        <v>34912</v>
      </c>
      <c r="B196" s="154">
        <f t="shared" si="34"/>
        <v>12298.207</v>
      </c>
      <c r="C196" s="154">
        <v>12496</v>
      </c>
      <c r="D196" s="155">
        <v>-197.79300000000001</v>
      </c>
      <c r="E196" s="164">
        <f t="shared" si="35"/>
        <v>-0.43548469874323875</v>
      </c>
      <c r="F196" s="155">
        <f t="shared" si="36"/>
        <v>1539.9989999999984</v>
      </c>
      <c r="G196" s="155">
        <v>46761.252999999997</v>
      </c>
      <c r="I196" s="1" t="s">
        <v>118</v>
      </c>
      <c r="J196" s="1" t="s">
        <v>119</v>
      </c>
      <c r="K196" s="1" t="s">
        <v>113</v>
      </c>
      <c r="M196" s="8"/>
    </row>
    <row r="197" spans="1:13" outlineLevel="1" x14ac:dyDescent="0.2">
      <c r="A197" s="170">
        <v>34943</v>
      </c>
      <c r="B197" s="154">
        <f t="shared" si="34"/>
        <v>11006.462</v>
      </c>
      <c r="C197" s="154">
        <v>12203</v>
      </c>
      <c r="D197" s="155">
        <v>-1196.538</v>
      </c>
      <c r="E197" s="164">
        <f t="shared" si="35"/>
        <v>-2.5588236482884668</v>
      </c>
      <c r="F197" s="155">
        <f t="shared" si="36"/>
        <v>1255.3409999999999</v>
      </c>
      <c r="G197" s="155">
        <v>46820.055999999997</v>
      </c>
      <c r="I197" s="1" t="s">
        <v>118</v>
      </c>
      <c r="J197" s="1" t="s">
        <v>119</v>
      </c>
      <c r="K197" s="1" t="s">
        <v>113</v>
      </c>
      <c r="M197" s="8"/>
    </row>
    <row r="198" spans="1:13" outlineLevel="1" x14ac:dyDescent="0.2">
      <c r="A198" s="170">
        <v>34973</v>
      </c>
      <c r="B198" s="154">
        <f t="shared" si="34"/>
        <v>11867.75</v>
      </c>
      <c r="C198" s="154">
        <v>12317</v>
      </c>
      <c r="D198" s="155">
        <v>-449.25</v>
      </c>
      <c r="E198" s="164">
        <f t="shared" si="35"/>
        <v>-0.95952469599780066</v>
      </c>
      <c r="F198" s="155">
        <f t="shared" si="36"/>
        <v>1068.4310000000041</v>
      </c>
      <c r="G198" s="155">
        <v>47439.237000000001</v>
      </c>
      <c r="I198" s="1" t="s">
        <v>118</v>
      </c>
      <c r="J198" s="1" t="s">
        <v>119</v>
      </c>
      <c r="K198" s="1" t="s">
        <v>113</v>
      </c>
      <c r="M198" s="8"/>
    </row>
    <row r="199" spans="1:13" outlineLevel="1" x14ac:dyDescent="0.2">
      <c r="A199" s="170">
        <v>35004</v>
      </c>
      <c r="B199" s="154">
        <f t="shared" si="34"/>
        <v>12332.75</v>
      </c>
      <c r="C199" s="154">
        <v>12760</v>
      </c>
      <c r="D199" s="155">
        <v>-427.25</v>
      </c>
      <c r="E199" s="164">
        <f t="shared" si="35"/>
        <v>-0.90062578367354429</v>
      </c>
      <c r="F199" s="155">
        <f t="shared" si="36"/>
        <v>903.05299999999988</v>
      </c>
      <c r="G199" s="155">
        <v>47915.040000000001</v>
      </c>
      <c r="I199" s="1" t="s">
        <v>118</v>
      </c>
      <c r="J199" s="1" t="s">
        <v>119</v>
      </c>
      <c r="K199" s="1" t="s">
        <v>113</v>
      </c>
      <c r="M199" s="8"/>
    </row>
    <row r="200" spans="1:13" outlineLevel="1" x14ac:dyDescent="0.2">
      <c r="A200" s="170">
        <v>35034</v>
      </c>
      <c r="B200" s="154">
        <f t="shared" si="34"/>
        <v>15656.993</v>
      </c>
      <c r="C200" s="154">
        <v>13129</v>
      </c>
      <c r="D200" s="155">
        <v>2527.9929999999999</v>
      </c>
      <c r="E200" s="164">
        <f t="shared" si="35"/>
        <v>5.2759905866717425</v>
      </c>
      <c r="F200" s="155">
        <f t="shared" si="36"/>
        <v>919.37899999999581</v>
      </c>
      <c r="G200" s="155">
        <v>51362.411999999997</v>
      </c>
      <c r="I200" s="1" t="s">
        <v>118</v>
      </c>
      <c r="J200" s="1" t="s">
        <v>119</v>
      </c>
      <c r="K200" s="1" t="s">
        <v>113</v>
      </c>
      <c r="M200" s="8"/>
    </row>
    <row r="201" spans="1:13" x14ac:dyDescent="0.2">
      <c r="A201" s="151" t="s">
        <v>30</v>
      </c>
      <c r="B201" s="152">
        <f>SUM(B189:B200)</f>
        <v>141476.59999999998</v>
      </c>
      <c r="C201" s="152">
        <f>SUM(C189:C200)</f>
        <v>141315</v>
      </c>
      <c r="D201" s="152">
        <f>SUM(D189:D200)</f>
        <v>161.59999999999991</v>
      </c>
      <c r="E201" s="163">
        <f>(D201/G188*100)</f>
        <v>0.43813181569822479</v>
      </c>
      <c r="F201" s="152">
        <f>SUM(F189:F200)</f>
        <v>14316.934999999996</v>
      </c>
      <c r="G201" s="153">
        <f>G200</f>
        <v>51362.411999999997</v>
      </c>
      <c r="I201" s="1" t="s">
        <v>118</v>
      </c>
      <c r="J201" s="1" t="s">
        <v>119</v>
      </c>
      <c r="K201" s="1" t="s">
        <v>113</v>
      </c>
    </row>
    <row r="202" spans="1:13" ht="20.100000000000001" customHeight="1" outlineLevel="1" x14ac:dyDescent="0.2">
      <c r="A202" s="170">
        <v>35065</v>
      </c>
      <c r="B202" s="154">
        <f t="shared" ref="B202:B212" si="37">(C202+D202)</f>
        <v>13652.092000000001</v>
      </c>
      <c r="C202" s="154">
        <v>14128</v>
      </c>
      <c r="D202" s="155">
        <v>-475.90800000000002</v>
      </c>
      <c r="E202" s="164">
        <f>(D202/G200*100)</f>
        <v>-0.92656863544492429</v>
      </c>
      <c r="F202" s="155">
        <f>(G202-G200)-D202</f>
        <v>839.81400000000269</v>
      </c>
      <c r="G202" s="155">
        <v>51726.317999999999</v>
      </c>
      <c r="H202" s="8"/>
      <c r="I202" s="1" t="s">
        <v>118</v>
      </c>
      <c r="J202" s="1" t="s">
        <v>119</v>
      </c>
      <c r="K202" s="1" t="s">
        <v>113</v>
      </c>
    </row>
    <row r="203" spans="1:13" outlineLevel="1" x14ac:dyDescent="0.2">
      <c r="A203" s="170">
        <v>35096</v>
      </c>
      <c r="B203" s="154">
        <f t="shared" si="37"/>
        <v>12308.675999999999</v>
      </c>
      <c r="C203" s="154">
        <v>11963</v>
      </c>
      <c r="D203" s="155">
        <v>345.67599999999999</v>
      </c>
      <c r="E203" s="164">
        <f t="shared" ref="E203:E213" si="38">(D203/G202*100)</f>
        <v>0.66827876671987363</v>
      </c>
      <c r="F203" s="155">
        <f t="shared" ref="F203:F213" si="39">(G203-G202)-D203</f>
        <v>165.00600000000071</v>
      </c>
      <c r="G203" s="155">
        <v>52237</v>
      </c>
      <c r="H203" s="8"/>
      <c r="I203" s="1" t="s">
        <v>118</v>
      </c>
      <c r="J203" s="1" t="s">
        <v>119</v>
      </c>
      <c r="K203" s="1" t="s">
        <v>113</v>
      </c>
      <c r="M203" s="8"/>
    </row>
    <row r="204" spans="1:13" outlineLevel="1" x14ac:dyDescent="0.2">
      <c r="A204" s="170">
        <v>35125</v>
      </c>
      <c r="B204" s="154">
        <f t="shared" si="37"/>
        <v>13579.571</v>
      </c>
      <c r="C204" s="154">
        <v>12938</v>
      </c>
      <c r="D204" s="155">
        <v>641.57100000000003</v>
      </c>
      <c r="E204" s="164">
        <f t="shared" si="38"/>
        <v>1.2281926603748301</v>
      </c>
      <c r="F204" s="155">
        <f t="shared" si="39"/>
        <v>-604.57100000000003</v>
      </c>
      <c r="G204" s="155">
        <v>52274</v>
      </c>
      <c r="H204" s="8"/>
      <c r="I204" s="1" t="s">
        <v>118</v>
      </c>
      <c r="J204" s="1" t="s">
        <v>119</v>
      </c>
      <c r="K204" s="1" t="s">
        <v>113</v>
      </c>
      <c r="M204" s="8"/>
    </row>
    <row r="205" spans="1:13" outlineLevel="1" x14ac:dyDescent="0.2">
      <c r="A205" s="170">
        <v>35156</v>
      </c>
      <c r="B205" s="154">
        <f t="shared" si="37"/>
        <v>12720.308000000001</v>
      </c>
      <c r="C205" s="154">
        <v>13301</v>
      </c>
      <c r="D205" s="155">
        <v>-580.69200000000001</v>
      </c>
      <c r="E205" s="164">
        <f t="shared" si="38"/>
        <v>-1.110861996403566</v>
      </c>
      <c r="F205" s="155">
        <f t="shared" si="39"/>
        <v>648.55299999999716</v>
      </c>
      <c r="G205" s="155">
        <v>52341.860999999997</v>
      </c>
      <c r="H205" s="8"/>
      <c r="I205" s="1" t="s">
        <v>118</v>
      </c>
      <c r="J205" s="1" t="s">
        <v>119</v>
      </c>
      <c r="K205" s="1" t="s">
        <v>113</v>
      </c>
      <c r="M205" s="8"/>
    </row>
    <row r="206" spans="1:13" outlineLevel="1" x14ac:dyDescent="0.2">
      <c r="A206" s="170">
        <v>35186</v>
      </c>
      <c r="B206" s="154">
        <f t="shared" si="37"/>
        <v>13308.028</v>
      </c>
      <c r="C206" s="154">
        <v>14087</v>
      </c>
      <c r="D206" s="155">
        <v>-778.97199999999998</v>
      </c>
      <c r="E206" s="164">
        <f t="shared" si="38"/>
        <v>-1.4882390215357457</v>
      </c>
      <c r="F206" s="155">
        <f t="shared" si="39"/>
        <v>551.08000000000015</v>
      </c>
      <c r="G206" s="155">
        <v>52113.968999999997</v>
      </c>
      <c r="H206" s="8"/>
      <c r="I206" s="1" t="s">
        <v>118</v>
      </c>
      <c r="J206" s="1" t="s">
        <v>119</v>
      </c>
      <c r="K206" s="1" t="s">
        <v>113</v>
      </c>
      <c r="M206" s="8"/>
    </row>
    <row r="207" spans="1:13" outlineLevel="1" x14ac:dyDescent="0.2">
      <c r="A207" s="170">
        <v>35217</v>
      </c>
      <c r="B207" s="154">
        <f t="shared" si="37"/>
        <v>13252.344999999999</v>
      </c>
      <c r="C207" s="154">
        <v>13940</v>
      </c>
      <c r="D207" s="155">
        <v>-687.65499999999997</v>
      </c>
      <c r="E207" s="164">
        <f t="shared" si="38"/>
        <v>-1.3195214511487312</v>
      </c>
      <c r="F207" s="155">
        <f t="shared" si="39"/>
        <v>577.52599999999916</v>
      </c>
      <c r="G207" s="155">
        <v>52003.839999999997</v>
      </c>
      <c r="H207" s="8"/>
      <c r="I207" s="1" t="s">
        <v>118</v>
      </c>
      <c r="J207" s="1" t="s">
        <v>119</v>
      </c>
      <c r="K207" s="1" t="s">
        <v>113</v>
      </c>
      <c r="M207" s="8"/>
    </row>
    <row r="208" spans="1:13" outlineLevel="1" x14ac:dyDescent="0.2">
      <c r="A208" s="170">
        <v>35247</v>
      </c>
      <c r="B208" s="154">
        <f t="shared" si="37"/>
        <v>18608.154999999999</v>
      </c>
      <c r="C208" s="154">
        <v>19175</v>
      </c>
      <c r="D208" s="155">
        <v>-566.84500000000003</v>
      </c>
      <c r="E208" s="164">
        <f t="shared" si="38"/>
        <v>-1.0900060457073941</v>
      </c>
      <c r="F208" s="155">
        <f t="shared" si="39"/>
        <v>543.34900000000084</v>
      </c>
      <c r="G208" s="155">
        <v>51980.343999999997</v>
      </c>
      <c r="H208" s="8"/>
      <c r="I208" s="1" t="s">
        <v>118</v>
      </c>
      <c r="J208" s="1" t="s">
        <v>119</v>
      </c>
      <c r="K208" s="1" t="s">
        <v>113</v>
      </c>
      <c r="M208" s="8"/>
    </row>
    <row r="209" spans="1:13" outlineLevel="1" x14ac:dyDescent="0.2">
      <c r="A209" s="170">
        <v>35278</v>
      </c>
      <c r="B209" s="154">
        <f t="shared" si="37"/>
        <v>13953.704</v>
      </c>
      <c r="C209" s="154">
        <v>14383</v>
      </c>
      <c r="D209" s="155">
        <v>-429.29599999999999</v>
      </c>
      <c r="E209" s="164">
        <f t="shared" si="38"/>
        <v>-0.82588141394370151</v>
      </c>
      <c r="F209" s="155">
        <f t="shared" si="39"/>
        <v>517.86599999999976</v>
      </c>
      <c r="G209" s="155">
        <v>52068.913999999997</v>
      </c>
      <c r="H209" s="8"/>
      <c r="I209" s="1" t="s">
        <v>118</v>
      </c>
      <c r="J209" s="1" t="s">
        <v>119</v>
      </c>
      <c r="K209" s="1" t="s">
        <v>113</v>
      </c>
      <c r="M209" s="8"/>
    </row>
    <row r="210" spans="1:13" outlineLevel="1" x14ac:dyDescent="0.2">
      <c r="A210" s="170">
        <v>35309</v>
      </c>
      <c r="B210" s="154">
        <f t="shared" si="37"/>
        <v>14341.117</v>
      </c>
      <c r="C210" s="154">
        <v>14402</v>
      </c>
      <c r="D210" s="155">
        <v>-60.883000000000003</v>
      </c>
      <c r="E210" s="164">
        <f t="shared" si="38"/>
        <v>-0.11692773158280198</v>
      </c>
      <c r="F210" s="155">
        <f t="shared" si="39"/>
        <v>589.11399999999981</v>
      </c>
      <c r="G210" s="155">
        <v>52597.144999999997</v>
      </c>
      <c r="H210" s="8"/>
      <c r="I210" s="1" t="s">
        <v>118</v>
      </c>
      <c r="J210" s="1" t="s">
        <v>119</v>
      </c>
      <c r="K210" s="1" t="s">
        <v>113</v>
      </c>
      <c r="M210" s="8"/>
    </row>
    <row r="211" spans="1:13" outlineLevel="1" x14ac:dyDescent="0.2">
      <c r="A211" s="170">
        <v>35339</v>
      </c>
      <c r="B211" s="154">
        <f t="shared" si="37"/>
        <v>15044.358</v>
      </c>
      <c r="C211" s="154">
        <v>14779</v>
      </c>
      <c r="D211" s="155">
        <v>265.358</v>
      </c>
      <c r="E211" s="164">
        <f t="shared" si="38"/>
        <v>0.50451027332377074</v>
      </c>
      <c r="F211" s="155">
        <f t="shared" si="39"/>
        <v>552.5970000000018</v>
      </c>
      <c r="G211" s="155">
        <v>53415.1</v>
      </c>
      <c r="H211" s="8"/>
      <c r="I211" s="1" t="s">
        <v>118</v>
      </c>
      <c r="J211" s="1" t="s">
        <v>119</v>
      </c>
      <c r="K211" s="1" t="s">
        <v>113</v>
      </c>
      <c r="M211" s="8"/>
    </row>
    <row r="212" spans="1:13" outlineLevel="1" x14ac:dyDescent="0.2">
      <c r="A212" s="170">
        <v>35370</v>
      </c>
      <c r="B212" s="154">
        <f t="shared" si="37"/>
        <v>14811.858</v>
      </c>
      <c r="C212" s="154">
        <v>13824</v>
      </c>
      <c r="D212" s="155">
        <v>987.85799999999995</v>
      </c>
      <c r="E212" s="164">
        <f t="shared" si="38"/>
        <v>1.8493983910916576</v>
      </c>
      <c r="F212" s="155">
        <f t="shared" si="39"/>
        <v>635.61899999999901</v>
      </c>
      <c r="G212" s="155">
        <v>55038.576999999997</v>
      </c>
      <c r="H212" s="8"/>
      <c r="I212" s="1" t="s">
        <v>118</v>
      </c>
      <c r="J212" s="1" t="s">
        <v>119</v>
      </c>
      <c r="K212" s="1" t="s">
        <v>113</v>
      </c>
      <c r="M212" s="8"/>
    </row>
    <row r="213" spans="1:13" outlineLevel="1" x14ac:dyDescent="0.2">
      <c r="A213" s="170">
        <v>35400</v>
      </c>
      <c r="B213" s="154">
        <v>21872</v>
      </c>
      <c r="C213" s="154">
        <v>18186.506000000001</v>
      </c>
      <c r="D213" s="155">
        <v>3685.4940000000001</v>
      </c>
      <c r="E213" s="164">
        <f t="shared" si="38"/>
        <v>6.6962014661098523</v>
      </c>
      <c r="F213" s="155">
        <f t="shared" si="39"/>
        <v>694.62600000000248</v>
      </c>
      <c r="G213" s="155">
        <v>59418.697</v>
      </c>
      <c r="H213" s="8"/>
      <c r="I213" s="1" t="s">
        <v>118</v>
      </c>
      <c r="J213" s="1" t="s">
        <v>119</v>
      </c>
      <c r="K213" s="1" t="s">
        <v>113</v>
      </c>
      <c r="M213" s="8"/>
    </row>
    <row r="214" spans="1:13" x14ac:dyDescent="0.2">
      <c r="A214" s="151" t="s">
        <v>31</v>
      </c>
      <c r="B214" s="152">
        <f>SUM(B202:B213)</f>
        <v>177452.212</v>
      </c>
      <c r="C214" s="152">
        <f>SUM(C202:C213)</f>
        <v>175106.50599999999</v>
      </c>
      <c r="D214" s="152">
        <f>SUM(D202:D213)</f>
        <v>2345.706000000001</v>
      </c>
      <c r="E214" s="163">
        <f>(D214/G201*100)</f>
        <v>4.566970102572288</v>
      </c>
      <c r="F214" s="152">
        <f>SUM(F202:F213)</f>
        <v>5710.5790000000034</v>
      </c>
      <c r="G214" s="153">
        <f>G213</f>
        <v>59418.697</v>
      </c>
      <c r="I214" s="1" t="s">
        <v>118</v>
      </c>
      <c r="J214" s="1" t="s">
        <v>119</v>
      </c>
      <c r="K214" s="1" t="s">
        <v>113</v>
      </c>
      <c r="M214" s="8"/>
    </row>
    <row r="215" spans="1:13" ht="20.100000000000001" customHeight="1" outlineLevel="1" x14ac:dyDescent="0.2">
      <c r="A215" s="170">
        <v>35431</v>
      </c>
      <c r="B215" s="154">
        <v>20605</v>
      </c>
      <c r="C215" s="154">
        <v>17624.099000000002</v>
      </c>
      <c r="D215" s="155">
        <v>2980.9009999999998</v>
      </c>
      <c r="E215" s="164">
        <f>(D215/G213*100)</f>
        <v>5.0167727508396887</v>
      </c>
      <c r="F215" s="155">
        <f>(G215-G213)-D215</f>
        <v>723.64799999999923</v>
      </c>
      <c r="G215" s="155">
        <v>63123.245999999999</v>
      </c>
      <c r="H215" s="8"/>
      <c r="I215" s="1" t="s">
        <v>118</v>
      </c>
      <c r="J215" s="1" t="s">
        <v>119</v>
      </c>
      <c r="K215" s="1" t="s">
        <v>113</v>
      </c>
      <c r="M215" s="8"/>
    </row>
    <row r="216" spans="1:13" outlineLevel="1" x14ac:dyDescent="0.2">
      <c r="A216" s="170">
        <v>35462</v>
      </c>
      <c r="B216" s="154">
        <v>11754</v>
      </c>
      <c r="C216" s="154">
        <v>11140.476000000001</v>
      </c>
      <c r="D216" s="155">
        <v>613.524</v>
      </c>
      <c r="E216" s="164">
        <f t="shared" ref="E216:E226" si="40">(D216/G215*100)</f>
        <v>0.97194621455303476</v>
      </c>
      <c r="F216" s="155">
        <f t="shared" ref="F216:F226" si="41">(G216-G215)-D216</f>
        <v>739.56200000000297</v>
      </c>
      <c r="G216" s="155">
        <v>64476.332000000002</v>
      </c>
      <c r="H216" s="8"/>
      <c r="I216" s="1" t="s">
        <v>118</v>
      </c>
      <c r="J216" s="1" t="s">
        <v>119</v>
      </c>
      <c r="K216" s="1" t="s">
        <v>113</v>
      </c>
      <c r="M216" s="8"/>
    </row>
    <row r="217" spans="1:13" outlineLevel="1" x14ac:dyDescent="0.2">
      <c r="A217" s="170">
        <v>35490</v>
      </c>
      <c r="B217" s="154">
        <v>12069</v>
      </c>
      <c r="C217" s="154">
        <v>11751.075000000001</v>
      </c>
      <c r="D217" s="155">
        <v>317.92500000000001</v>
      </c>
      <c r="E217" s="164">
        <f t="shared" si="40"/>
        <v>0.49308791325164092</v>
      </c>
      <c r="F217" s="155">
        <f t="shared" si="41"/>
        <v>753.05900000000406</v>
      </c>
      <c r="G217" s="155">
        <v>65547.316000000006</v>
      </c>
      <c r="H217" s="8"/>
      <c r="I217" s="1" t="s">
        <v>118</v>
      </c>
      <c r="J217" s="1" t="s">
        <v>119</v>
      </c>
      <c r="K217" s="1" t="s">
        <v>113</v>
      </c>
      <c r="M217" s="8"/>
    </row>
    <row r="218" spans="1:13" outlineLevel="1" x14ac:dyDescent="0.2">
      <c r="A218" s="170">
        <v>35521</v>
      </c>
      <c r="B218" s="154">
        <v>13638</v>
      </c>
      <c r="C218" s="154">
        <v>13669.689</v>
      </c>
      <c r="D218" s="155">
        <v>-31.689</v>
      </c>
      <c r="E218" s="164">
        <f t="shared" si="40"/>
        <v>-4.8345228964066199E-2</v>
      </c>
      <c r="F218" s="155">
        <f t="shared" si="41"/>
        <v>716.87999999999158</v>
      </c>
      <c r="G218" s="155">
        <v>66232.506999999998</v>
      </c>
      <c r="H218" s="8"/>
      <c r="I218" s="1" t="s">
        <v>118</v>
      </c>
      <c r="J218" s="1" t="s">
        <v>119</v>
      </c>
      <c r="K218" s="1" t="s">
        <v>113</v>
      </c>
      <c r="M218" s="8"/>
    </row>
    <row r="219" spans="1:13" outlineLevel="1" x14ac:dyDescent="0.2">
      <c r="A219" s="170">
        <v>35551</v>
      </c>
      <c r="B219" s="154">
        <v>13635</v>
      </c>
      <c r="C219" s="154">
        <v>13568.59</v>
      </c>
      <c r="D219" s="155">
        <v>66.41</v>
      </c>
      <c r="E219" s="164">
        <f t="shared" si="40"/>
        <v>0.10026798472236602</v>
      </c>
      <c r="F219" s="155">
        <f t="shared" si="41"/>
        <v>685.27700000000539</v>
      </c>
      <c r="G219" s="155">
        <v>66984.194000000003</v>
      </c>
      <c r="H219" s="8"/>
      <c r="I219" s="1" t="s">
        <v>118</v>
      </c>
      <c r="J219" s="1" t="s">
        <v>119</v>
      </c>
      <c r="K219" s="1" t="s">
        <v>113</v>
      </c>
      <c r="M219" s="8"/>
    </row>
    <row r="220" spans="1:13" outlineLevel="1" x14ac:dyDescent="0.2">
      <c r="A220" s="170">
        <v>35582</v>
      </c>
      <c r="B220" s="154">
        <v>14457</v>
      </c>
      <c r="C220" s="154">
        <v>14129.085999999999</v>
      </c>
      <c r="D220" s="155">
        <v>327.91399999999999</v>
      </c>
      <c r="E220" s="164">
        <f t="shared" si="40"/>
        <v>0.48953936804852799</v>
      </c>
      <c r="F220" s="155">
        <f t="shared" si="41"/>
        <v>760.58600000000001</v>
      </c>
      <c r="G220" s="155">
        <v>68072.694000000003</v>
      </c>
      <c r="H220" s="8"/>
      <c r="I220" s="1" t="s">
        <v>118</v>
      </c>
      <c r="J220" s="1" t="s">
        <v>119</v>
      </c>
      <c r="K220" s="1" t="s">
        <v>113</v>
      </c>
      <c r="M220" s="8"/>
    </row>
    <row r="221" spans="1:13" outlineLevel="1" x14ac:dyDescent="0.2">
      <c r="A221" s="170">
        <v>35612</v>
      </c>
      <c r="B221" s="154">
        <v>14776</v>
      </c>
      <c r="C221" s="154">
        <v>14962.794</v>
      </c>
      <c r="D221" s="155">
        <v>-186.79400000000001</v>
      </c>
      <c r="E221" s="164">
        <f t="shared" si="40"/>
        <v>-0.27440371318343887</v>
      </c>
      <c r="F221" s="155">
        <f t="shared" si="41"/>
        <v>720.60199999998997</v>
      </c>
      <c r="G221" s="155">
        <v>68606.501999999993</v>
      </c>
      <c r="H221" s="8"/>
      <c r="I221" s="1" t="s">
        <v>118</v>
      </c>
      <c r="J221" s="1" t="s">
        <v>119</v>
      </c>
      <c r="K221" s="1" t="s">
        <v>113</v>
      </c>
      <c r="M221" s="8"/>
    </row>
    <row r="222" spans="1:13" outlineLevel="1" x14ac:dyDescent="0.2">
      <c r="A222" s="170">
        <v>35643</v>
      </c>
      <c r="B222" s="154">
        <v>14573</v>
      </c>
      <c r="C222" s="154">
        <v>14122.715</v>
      </c>
      <c r="D222" s="155">
        <v>450.28500000000003</v>
      </c>
      <c r="E222" s="164">
        <f t="shared" si="40"/>
        <v>0.65632992044981409</v>
      </c>
      <c r="F222" s="155">
        <f t="shared" si="41"/>
        <v>746.39200000001051</v>
      </c>
      <c r="G222" s="155">
        <v>69803.179000000004</v>
      </c>
      <c r="H222" s="8"/>
      <c r="I222" s="1" t="s">
        <v>118</v>
      </c>
      <c r="J222" s="1" t="s">
        <v>119</v>
      </c>
      <c r="K222" s="1" t="s">
        <v>113</v>
      </c>
      <c r="M222" s="8"/>
    </row>
    <row r="223" spans="1:13" outlineLevel="1" x14ac:dyDescent="0.2">
      <c r="A223" s="170">
        <v>35674</v>
      </c>
      <c r="B223" s="154">
        <v>15736</v>
      </c>
      <c r="C223" s="154">
        <v>15144.95</v>
      </c>
      <c r="D223" s="155">
        <v>591.04999999999995</v>
      </c>
      <c r="E223" s="164">
        <f t="shared" si="40"/>
        <v>0.84673794011587911</v>
      </c>
      <c r="F223" s="155">
        <f t="shared" si="41"/>
        <v>778.57699999999318</v>
      </c>
      <c r="G223" s="155">
        <v>71172.805999999997</v>
      </c>
      <c r="H223" s="8"/>
      <c r="I223" s="1" t="s">
        <v>118</v>
      </c>
      <c r="J223" s="1" t="s">
        <v>119</v>
      </c>
      <c r="K223" s="1" t="s">
        <v>113</v>
      </c>
      <c r="M223" s="8"/>
    </row>
    <row r="224" spans="1:13" outlineLevel="1" x14ac:dyDescent="0.2">
      <c r="A224" s="170">
        <v>35704</v>
      </c>
      <c r="B224" s="154">
        <v>15911</v>
      </c>
      <c r="C224" s="154">
        <v>15394.393</v>
      </c>
      <c r="D224" s="155">
        <v>516.60699999999997</v>
      </c>
      <c r="E224" s="164">
        <f t="shared" si="40"/>
        <v>0.72584885862164827</v>
      </c>
      <c r="F224" s="155">
        <f t="shared" si="41"/>
        <v>734.72700000000259</v>
      </c>
      <c r="G224" s="155">
        <v>72424.14</v>
      </c>
      <c r="H224" s="8"/>
      <c r="I224" s="1" t="s">
        <v>118</v>
      </c>
      <c r="J224" s="1" t="s">
        <v>119</v>
      </c>
      <c r="K224" s="1" t="s">
        <v>113</v>
      </c>
      <c r="M224" s="8"/>
    </row>
    <row r="225" spans="1:13" outlineLevel="1" x14ac:dyDescent="0.2">
      <c r="A225" s="170">
        <v>35735</v>
      </c>
      <c r="B225" s="154">
        <v>18245</v>
      </c>
      <c r="C225" s="154">
        <v>14749.969000000001</v>
      </c>
      <c r="D225" s="155">
        <v>3495.0309999999999</v>
      </c>
      <c r="E225" s="164">
        <f t="shared" si="40"/>
        <v>4.8257818456663752</v>
      </c>
      <c r="F225" s="155">
        <f t="shared" si="41"/>
        <v>807.51900000000296</v>
      </c>
      <c r="G225" s="155">
        <v>76726.69</v>
      </c>
      <c r="H225" s="8"/>
      <c r="I225" s="1" t="s">
        <v>118</v>
      </c>
      <c r="J225" s="1" t="s">
        <v>119</v>
      </c>
      <c r="K225" s="1" t="s">
        <v>113</v>
      </c>
      <c r="M225" s="8"/>
    </row>
    <row r="226" spans="1:13" outlineLevel="1" x14ac:dyDescent="0.2">
      <c r="A226" s="170">
        <v>35765</v>
      </c>
      <c r="B226" s="154">
        <v>21127</v>
      </c>
      <c r="C226" s="154">
        <v>19189.246999999999</v>
      </c>
      <c r="D226" s="155">
        <v>1937.7529999999999</v>
      </c>
      <c r="E226" s="164">
        <f t="shared" si="40"/>
        <v>2.5255266452912277</v>
      </c>
      <c r="F226" s="155">
        <f t="shared" si="41"/>
        <v>1585.9339999999909</v>
      </c>
      <c r="G226" s="155">
        <v>80250.376999999993</v>
      </c>
      <c r="H226" s="8"/>
      <c r="I226" s="1" t="s">
        <v>118</v>
      </c>
      <c r="J226" s="1" t="s">
        <v>119</v>
      </c>
      <c r="K226" s="1" t="s">
        <v>113</v>
      </c>
      <c r="M226" s="8"/>
    </row>
    <row r="227" spans="1:13" x14ac:dyDescent="0.2">
      <c r="A227" s="151" t="s">
        <v>32</v>
      </c>
      <c r="B227" s="152">
        <f>SUM(B215:B226)</f>
        <v>186526</v>
      </c>
      <c r="C227" s="152">
        <f>SUM(C215:C226)</f>
        <v>175447.08300000001</v>
      </c>
      <c r="D227" s="152">
        <f>SUM(D215:D226)</f>
        <v>11078.917000000001</v>
      </c>
      <c r="E227" s="163">
        <f>(D227/G214*100)</f>
        <v>18.645506480897758</v>
      </c>
      <c r="F227" s="152">
        <f>SUM(F215:F226)</f>
        <v>9752.7629999999936</v>
      </c>
      <c r="G227" s="153">
        <f>G226</f>
        <v>80250.376999999993</v>
      </c>
      <c r="I227" s="1" t="s">
        <v>118</v>
      </c>
      <c r="J227" s="1" t="s">
        <v>119</v>
      </c>
      <c r="K227" s="1" t="s">
        <v>113</v>
      </c>
    </row>
    <row r="228" spans="1:13" ht="20.100000000000001" customHeight="1" outlineLevel="1" x14ac:dyDescent="0.2">
      <c r="A228" s="170">
        <v>35796</v>
      </c>
      <c r="B228" s="154">
        <f>20049*0.8</f>
        <v>16039.2</v>
      </c>
      <c r="C228" s="154">
        <v>15593.457</v>
      </c>
      <c r="D228" s="155">
        <v>445.74299999999999</v>
      </c>
      <c r="E228" s="164">
        <f>(D228/G226*100)</f>
        <v>0.55544038129565432</v>
      </c>
      <c r="F228" s="155">
        <f>(G228-G226)-D228</f>
        <v>1203.8080000000068</v>
      </c>
      <c r="G228" s="155">
        <v>81899.928</v>
      </c>
      <c r="H228" s="8"/>
      <c r="I228" s="1" t="s">
        <v>118</v>
      </c>
      <c r="J228" s="1" t="s">
        <v>119</v>
      </c>
      <c r="K228" s="1" t="s">
        <v>113</v>
      </c>
      <c r="M228" s="8"/>
    </row>
    <row r="229" spans="1:13" outlineLevel="1" x14ac:dyDescent="0.2">
      <c r="A229" s="170">
        <v>35827</v>
      </c>
      <c r="B229" s="154">
        <v>14543</v>
      </c>
      <c r="C229" s="154">
        <v>17233.295999999998</v>
      </c>
      <c r="D229" s="155">
        <v>-2690.2959999999998</v>
      </c>
      <c r="E229" s="164">
        <f t="shared" ref="E229:E239" si="42">(D229/G228*100)</f>
        <v>-3.2848575886415916</v>
      </c>
      <c r="F229" s="155">
        <f t="shared" ref="F229:F239" si="43">(G229-G228)-D229</f>
        <v>1342.3489999999997</v>
      </c>
      <c r="G229" s="155">
        <v>80551.981</v>
      </c>
      <c r="H229" s="8"/>
      <c r="I229" s="1" t="s">
        <v>118</v>
      </c>
      <c r="J229" s="1" t="s">
        <v>119</v>
      </c>
      <c r="K229" s="1" t="s">
        <v>113</v>
      </c>
      <c r="M229" s="8"/>
    </row>
    <row r="230" spans="1:13" outlineLevel="1" x14ac:dyDescent="0.2">
      <c r="A230" s="170">
        <v>35855</v>
      </c>
      <c r="B230" s="154">
        <v>15436</v>
      </c>
      <c r="C230" s="154">
        <v>16816.838</v>
      </c>
      <c r="D230" s="155">
        <v>-1380.838</v>
      </c>
      <c r="E230" s="164">
        <f t="shared" si="42"/>
        <v>-1.7142197905722516</v>
      </c>
      <c r="F230" s="155">
        <f t="shared" si="43"/>
        <v>711.70200000000136</v>
      </c>
      <c r="G230" s="155">
        <v>79882.845000000001</v>
      </c>
      <c r="H230" s="8"/>
      <c r="I230" s="1" t="s">
        <v>118</v>
      </c>
      <c r="J230" s="1" t="s">
        <v>119</v>
      </c>
      <c r="K230" s="1" t="s">
        <v>113</v>
      </c>
      <c r="M230" s="8"/>
    </row>
    <row r="231" spans="1:13" outlineLevel="1" x14ac:dyDescent="0.2">
      <c r="A231" s="170">
        <v>35886</v>
      </c>
      <c r="B231" s="154">
        <v>14818</v>
      </c>
      <c r="C231" s="154">
        <v>15707.119000000001</v>
      </c>
      <c r="D231" s="155">
        <v>-889.11900000000003</v>
      </c>
      <c r="E231" s="164">
        <f t="shared" si="42"/>
        <v>-1.1130287109829402</v>
      </c>
      <c r="F231" s="155">
        <f t="shared" si="43"/>
        <v>852.1390000000041</v>
      </c>
      <c r="G231" s="155">
        <v>79845.865000000005</v>
      </c>
      <c r="H231" s="8"/>
      <c r="I231" s="1" t="s">
        <v>118</v>
      </c>
      <c r="J231" s="1" t="s">
        <v>119</v>
      </c>
      <c r="K231" s="1" t="s">
        <v>113</v>
      </c>
      <c r="M231" s="8"/>
    </row>
    <row r="232" spans="1:13" outlineLevel="1" x14ac:dyDescent="0.2">
      <c r="A232" s="170">
        <v>35916</v>
      </c>
      <c r="B232" s="154">
        <v>14180</v>
      </c>
      <c r="C232" s="154">
        <v>14250.906999999999</v>
      </c>
      <c r="D232" s="155">
        <v>-70.906999999999996</v>
      </c>
      <c r="E232" s="164">
        <f t="shared" si="42"/>
        <v>-8.8804849192879301E-2</v>
      </c>
      <c r="F232" s="155">
        <f t="shared" si="43"/>
        <v>396.1719999999994</v>
      </c>
      <c r="G232" s="155">
        <v>80171.13</v>
      </c>
      <c r="H232" s="8"/>
      <c r="I232" s="1" t="s">
        <v>118</v>
      </c>
      <c r="J232" s="1" t="s">
        <v>119</v>
      </c>
      <c r="K232" s="1" t="s">
        <v>113</v>
      </c>
      <c r="M232" s="8"/>
    </row>
    <row r="233" spans="1:13" outlineLevel="1" x14ac:dyDescent="0.2">
      <c r="A233" s="170">
        <v>35947</v>
      </c>
      <c r="B233" s="154">
        <v>17470.839</v>
      </c>
      <c r="C233" s="154">
        <v>16818</v>
      </c>
      <c r="D233" s="155">
        <v>652.83900000000006</v>
      </c>
      <c r="E233" s="164">
        <f t="shared" si="42"/>
        <v>0.81430684586833191</v>
      </c>
      <c r="F233" s="155">
        <f t="shared" si="43"/>
        <v>657.31899999999575</v>
      </c>
      <c r="G233" s="155">
        <v>81481.288</v>
      </c>
      <c r="H233" s="8"/>
      <c r="I233" s="1" t="s">
        <v>118</v>
      </c>
      <c r="J233" s="1" t="s">
        <v>119</v>
      </c>
      <c r="K233" s="1" t="s">
        <v>113</v>
      </c>
      <c r="M233" s="8"/>
    </row>
    <row r="234" spans="1:13" outlineLevel="1" x14ac:dyDescent="0.2">
      <c r="A234" s="170">
        <v>35977</v>
      </c>
      <c r="B234" s="154">
        <f>(B233*1.002)</f>
        <v>17505.780677999999</v>
      </c>
      <c r="C234" s="154">
        <v>17056.930678000001</v>
      </c>
      <c r="D234" s="155">
        <v>448.85</v>
      </c>
      <c r="E234" s="164">
        <f t="shared" si="42"/>
        <v>0.55086267168481673</v>
      </c>
      <c r="F234" s="155">
        <f t="shared" si="43"/>
        <v>733.88699999999369</v>
      </c>
      <c r="G234" s="155">
        <v>82664.024999999994</v>
      </c>
      <c r="H234" s="8"/>
      <c r="I234" s="1" t="s">
        <v>118</v>
      </c>
      <c r="J234" s="1" t="s">
        <v>119</v>
      </c>
      <c r="K234" s="1" t="s">
        <v>113</v>
      </c>
      <c r="M234" s="8"/>
    </row>
    <row r="235" spans="1:13" outlineLevel="1" x14ac:dyDescent="0.2">
      <c r="A235" s="170">
        <v>36008</v>
      </c>
      <c r="B235" s="154">
        <f>(18605/0.95)</f>
        <v>19584.21052631579</v>
      </c>
      <c r="C235" s="154">
        <v>19313.740526315789</v>
      </c>
      <c r="D235" s="155">
        <v>270.47000000000003</v>
      </c>
      <c r="E235" s="164">
        <f t="shared" si="42"/>
        <v>0.32719190724139074</v>
      </c>
      <c r="F235" s="155">
        <f t="shared" si="43"/>
        <v>749.54099999999858</v>
      </c>
      <c r="G235" s="155">
        <v>83684.035999999993</v>
      </c>
      <c r="H235" s="8"/>
      <c r="I235" s="1" t="s">
        <v>118</v>
      </c>
      <c r="J235" s="1" t="s">
        <v>119</v>
      </c>
      <c r="K235" s="1" t="s">
        <v>113</v>
      </c>
      <c r="M235" s="8"/>
    </row>
    <row r="236" spans="1:13" outlineLevel="1" x14ac:dyDescent="0.2">
      <c r="A236" s="170">
        <v>36039</v>
      </c>
      <c r="B236" s="154">
        <f>25680*0.823</f>
        <v>21134.639999999999</v>
      </c>
      <c r="C236" s="154">
        <v>20644.823</v>
      </c>
      <c r="D236" s="155">
        <v>489.81700000000001</v>
      </c>
      <c r="E236" s="164">
        <f t="shared" si="42"/>
        <v>0.58531713264881258</v>
      </c>
      <c r="F236" s="155">
        <f t="shared" si="43"/>
        <v>733.67800000000989</v>
      </c>
      <c r="G236" s="155">
        <v>84907.531000000003</v>
      </c>
      <c r="H236" s="8"/>
      <c r="I236" s="1" t="s">
        <v>118</v>
      </c>
      <c r="J236" s="1" t="s">
        <v>119</v>
      </c>
      <c r="K236" s="1" t="s">
        <v>113</v>
      </c>
      <c r="M236" s="8"/>
    </row>
    <row r="237" spans="1:13" outlineLevel="1" x14ac:dyDescent="0.2">
      <c r="A237" s="170">
        <v>36069</v>
      </c>
      <c r="B237" s="154">
        <v>20245</v>
      </c>
      <c r="C237" s="154">
        <v>20369.919000000002</v>
      </c>
      <c r="D237" s="155">
        <v>-124.919</v>
      </c>
      <c r="E237" s="164">
        <f t="shared" si="42"/>
        <v>-0.14712358082818353</v>
      </c>
      <c r="F237" s="155">
        <f t="shared" si="43"/>
        <v>1188.0919999999953</v>
      </c>
      <c r="G237" s="155">
        <v>85970.703999999998</v>
      </c>
      <c r="H237" s="8"/>
      <c r="I237" s="1" t="s">
        <v>118</v>
      </c>
      <c r="J237" s="1" t="s">
        <v>119</v>
      </c>
      <c r="K237" s="1" t="s">
        <v>113</v>
      </c>
      <c r="M237" s="8"/>
    </row>
    <row r="238" spans="1:13" outlineLevel="1" x14ac:dyDescent="0.2">
      <c r="A238" s="170">
        <v>36100</v>
      </c>
      <c r="B238" s="154">
        <f>20514*1.05</f>
        <v>21539.7</v>
      </c>
      <c r="C238" s="154">
        <v>21406.296000000002</v>
      </c>
      <c r="D238" s="155">
        <v>133.404</v>
      </c>
      <c r="E238" s="164">
        <f t="shared" si="42"/>
        <v>0.15517379036468051</v>
      </c>
      <c r="F238" s="155">
        <f t="shared" si="43"/>
        <v>1171.6000000000008</v>
      </c>
      <c r="G238" s="155">
        <v>87275.707999999999</v>
      </c>
      <c r="H238" s="8"/>
      <c r="I238" s="1" t="s">
        <v>118</v>
      </c>
      <c r="J238" s="1" t="s">
        <v>119</v>
      </c>
      <c r="K238" s="1" t="s">
        <v>113</v>
      </c>
      <c r="M238" s="8"/>
    </row>
    <row r="239" spans="1:13" outlineLevel="1" x14ac:dyDescent="0.2">
      <c r="A239" s="170">
        <v>36130</v>
      </c>
      <c r="B239" s="154">
        <f>20714*1.05</f>
        <v>21749.7</v>
      </c>
      <c r="C239" s="154">
        <v>21336.244000000002</v>
      </c>
      <c r="D239" s="155">
        <v>413.45600000000002</v>
      </c>
      <c r="E239" s="164">
        <f t="shared" si="42"/>
        <v>0.47373548662590054</v>
      </c>
      <c r="F239" s="155">
        <f t="shared" si="43"/>
        <v>849.18500000000324</v>
      </c>
      <c r="G239" s="155">
        <v>88538.349000000002</v>
      </c>
      <c r="H239" s="8"/>
      <c r="I239" s="1" t="s">
        <v>118</v>
      </c>
      <c r="J239" s="1" t="s">
        <v>119</v>
      </c>
      <c r="K239" s="1" t="s">
        <v>113</v>
      </c>
      <c r="M239" s="8"/>
    </row>
    <row r="240" spans="1:13" x14ac:dyDescent="0.2">
      <c r="A240" s="151" t="s">
        <v>33</v>
      </c>
      <c r="B240" s="152">
        <f>SUM(B228:B239)</f>
        <v>214246.07020431579</v>
      </c>
      <c r="C240" s="152">
        <f>SUM(C228:C239)</f>
        <v>216547.57020431579</v>
      </c>
      <c r="D240" s="152">
        <f>SUM(D228:D239)</f>
        <v>-2301.4999999999995</v>
      </c>
      <c r="E240" s="163">
        <f>(D240/G227*100)</f>
        <v>-2.8678992997129469</v>
      </c>
      <c r="F240" s="152">
        <f>SUM(F228:F239)</f>
        <v>10589.472000000007</v>
      </c>
      <c r="G240" s="153">
        <f>G239</f>
        <v>88538.349000000002</v>
      </c>
      <c r="I240" s="1" t="s">
        <v>118</v>
      </c>
      <c r="J240" s="1" t="s">
        <v>119</v>
      </c>
      <c r="K240" s="1" t="s">
        <v>113</v>
      </c>
    </row>
    <row r="241" spans="1:13" ht="20.100000000000001" customHeight="1" outlineLevel="1" x14ac:dyDescent="0.2">
      <c r="A241" s="170">
        <v>36161</v>
      </c>
      <c r="B241" s="154">
        <f>21058/0.975</f>
        <v>21597.948717948719</v>
      </c>
      <c r="C241" s="154">
        <v>21899.31171794872</v>
      </c>
      <c r="D241" s="155">
        <v>-301.363</v>
      </c>
      <c r="E241" s="164">
        <f>(D241/G239*100)</f>
        <v>-0.3403756715635165</v>
      </c>
      <c r="F241" s="155">
        <f>(G241-G239)-D241</f>
        <v>920.55300000000238</v>
      </c>
      <c r="G241" s="155">
        <v>89157.539000000004</v>
      </c>
      <c r="H241" s="8"/>
      <c r="I241" s="1" t="s">
        <v>118</v>
      </c>
      <c r="J241" s="1" t="s">
        <v>119</v>
      </c>
      <c r="K241" s="1" t="s">
        <v>113</v>
      </c>
      <c r="M241" s="8"/>
    </row>
    <row r="242" spans="1:13" outlineLevel="1" x14ac:dyDescent="0.2">
      <c r="A242" s="170">
        <v>36192</v>
      </c>
      <c r="B242" s="154">
        <f>22190/0.975</f>
        <v>22758.974358974359</v>
      </c>
      <c r="C242" s="154">
        <v>23202.073358974358</v>
      </c>
      <c r="D242" s="155">
        <v>-443.09899999999999</v>
      </c>
      <c r="E242" s="164">
        <f t="shared" ref="E242:E252" si="44">(D242/G241*100)</f>
        <v>-0.49698433241859669</v>
      </c>
      <c r="F242" s="155">
        <f t="shared" ref="F242:F252" si="45">(G242-G241)-D242</f>
        <v>1901.4440000000011</v>
      </c>
      <c r="G242" s="155">
        <v>90615.884000000005</v>
      </c>
      <c r="H242" s="8"/>
      <c r="I242" s="1" t="s">
        <v>118</v>
      </c>
      <c r="J242" s="1" t="s">
        <v>119</v>
      </c>
      <c r="K242" s="1" t="s">
        <v>113</v>
      </c>
      <c r="M242" s="8"/>
    </row>
    <row r="243" spans="1:13" outlineLevel="1" x14ac:dyDescent="0.2">
      <c r="A243" s="170">
        <v>36220</v>
      </c>
      <c r="B243" s="154">
        <f>27169.24/0.975</f>
        <v>27865.887179487181</v>
      </c>
      <c r="C243" s="154">
        <v>28673.178179487182</v>
      </c>
      <c r="D243" s="155">
        <v>-807.29100000000005</v>
      </c>
      <c r="E243" s="164">
        <f t="shared" si="44"/>
        <v>-0.89089347735105684</v>
      </c>
      <c r="F243" s="155">
        <f t="shared" si="45"/>
        <v>1094.2209999999932</v>
      </c>
      <c r="G243" s="155">
        <v>90902.813999999998</v>
      </c>
      <c r="H243" s="8"/>
      <c r="I243" s="1" t="s">
        <v>118</v>
      </c>
      <c r="J243" s="1" t="s">
        <v>119</v>
      </c>
      <c r="K243" s="1" t="s">
        <v>113</v>
      </c>
      <c r="M243" s="8"/>
    </row>
    <row r="244" spans="1:13" outlineLevel="1" x14ac:dyDescent="0.2">
      <c r="A244" s="170">
        <v>36251</v>
      </c>
      <c r="B244" s="154">
        <f>25317/0.975</f>
        <v>25966.153846153848</v>
      </c>
      <c r="C244" s="154">
        <v>26931.230846153849</v>
      </c>
      <c r="D244" s="155">
        <v>-965.077</v>
      </c>
      <c r="E244" s="164">
        <f t="shared" si="44"/>
        <v>-1.0616580032384917</v>
      </c>
      <c r="F244" s="155">
        <f t="shared" si="45"/>
        <v>1151.8540000000019</v>
      </c>
      <c r="G244" s="155">
        <v>91089.591</v>
      </c>
      <c r="H244" s="8"/>
      <c r="I244" s="1" t="s">
        <v>118</v>
      </c>
      <c r="J244" s="1" t="s">
        <v>119</v>
      </c>
      <c r="K244" s="1" t="s">
        <v>113</v>
      </c>
      <c r="M244" s="8"/>
    </row>
    <row r="245" spans="1:13" outlineLevel="1" x14ac:dyDescent="0.2">
      <c r="A245" s="170">
        <v>36281</v>
      </c>
      <c r="B245" s="154">
        <f>27273/0.975</f>
        <v>27972.307692307691</v>
      </c>
      <c r="C245" s="154">
        <v>28222.05269230769</v>
      </c>
      <c r="D245" s="155">
        <v>-249.745</v>
      </c>
      <c r="E245" s="164">
        <f t="shared" si="44"/>
        <v>-0.27417512501510738</v>
      </c>
      <c r="F245" s="155">
        <f t="shared" si="45"/>
        <v>953.54200000000594</v>
      </c>
      <c r="G245" s="155">
        <v>91793.388000000006</v>
      </c>
      <c r="H245" s="8"/>
      <c r="I245" s="1" t="s">
        <v>118</v>
      </c>
      <c r="J245" s="1" t="s">
        <v>119</v>
      </c>
      <c r="K245" s="1" t="s">
        <v>113</v>
      </c>
      <c r="M245" s="8"/>
    </row>
    <row r="246" spans="1:13" outlineLevel="1" x14ac:dyDescent="0.2">
      <c r="A246" s="170">
        <v>36312</v>
      </c>
      <c r="B246" s="154">
        <f>26470/0.975</f>
        <v>27148.717948717949</v>
      </c>
      <c r="C246" s="154">
        <v>28501.137948717951</v>
      </c>
      <c r="D246" s="155">
        <v>-1352.42</v>
      </c>
      <c r="E246" s="164">
        <f t="shared" si="44"/>
        <v>-1.4733305191872861</v>
      </c>
      <c r="F246" s="155">
        <f t="shared" si="45"/>
        <v>757.73399999999856</v>
      </c>
      <c r="G246" s="155">
        <v>91198.702000000005</v>
      </c>
      <c r="H246" s="8"/>
      <c r="I246" s="1" t="s">
        <v>118</v>
      </c>
      <c r="J246" s="1" t="s">
        <v>119</v>
      </c>
      <c r="K246" s="1" t="s">
        <v>113</v>
      </c>
      <c r="M246" s="8"/>
    </row>
    <row r="247" spans="1:13" outlineLevel="1" x14ac:dyDescent="0.2">
      <c r="A247" s="170">
        <v>36342</v>
      </c>
      <c r="B247" s="154">
        <f>23715/0.975</f>
        <v>24323.076923076922</v>
      </c>
      <c r="C247" s="154">
        <v>25399.127923076921</v>
      </c>
      <c r="D247" s="155">
        <v>-1076.0509999999999</v>
      </c>
      <c r="E247" s="164">
        <f t="shared" si="44"/>
        <v>-1.1798972752923609</v>
      </c>
      <c r="F247" s="155">
        <f t="shared" si="45"/>
        <v>689.84499999999434</v>
      </c>
      <c r="G247" s="155">
        <v>90812.495999999999</v>
      </c>
      <c r="H247" s="8"/>
      <c r="I247" s="1" t="s">
        <v>118</v>
      </c>
      <c r="J247" s="1" t="s">
        <v>119</v>
      </c>
      <c r="K247" s="1" t="s">
        <v>113</v>
      </c>
      <c r="M247" s="8"/>
    </row>
    <row r="248" spans="1:13" outlineLevel="1" x14ac:dyDescent="0.2">
      <c r="A248" s="170">
        <v>36373</v>
      </c>
      <c r="B248" s="154">
        <f>28127/0.975</f>
        <v>28848.205128205129</v>
      </c>
      <c r="C248" s="154">
        <v>30028.563128205129</v>
      </c>
      <c r="D248" s="155">
        <v>-1180.3579999999999</v>
      </c>
      <c r="E248" s="164">
        <f t="shared" si="44"/>
        <v>-1.2997748679873307</v>
      </c>
      <c r="F248" s="155">
        <f t="shared" si="45"/>
        <v>699.42700000000309</v>
      </c>
      <c r="G248" s="155">
        <v>90331.565000000002</v>
      </c>
      <c r="H248" s="8"/>
      <c r="I248" s="1" t="s">
        <v>118</v>
      </c>
      <c r="J248" s="1" t="s">
        <v>119</v>
      </c>
      <c r="K248" s="1" t="s">
        <v>113</v>
      </c>
      <c r="M248" s="8"/>
    </row>
    <row r="249" spans="1:13" outlineLevel="1" x14ac:dyDescent="0.2">
      <c r="A249" s="170">
        <v>36404</v>
      </c>
      <c r="B249" s="154">
        <f>27315/0.975</f>
        <v>28015.384615384617</v>
      </c>
      <c r="C249" s="154">
        <v>29295.568615384618</v>
      </c>
      <c r="D249" s="155">
        <v>-1280.184</v>
      </c>
      <c r="E249" s="164">
        <f t="shared" si="44"/>
        <v>-1.4172056024934363</v>
      </c>
      <c r="F249" s="155">
        <f t="shared" si="45"/>
        <v>658.97099999999659</v>
      </c>
      <c r="G249" s="155">
        <v>89710.351999999999</v>
      </c>
      <c r="H249" s="8"/>
      <c r="I249" s="1" t="s">
        <v>118</v>
      </c>
      <c r="J249" s="1" t="s">
        <v>119</v>
      </c>
      <c r="K249" s="1" t="s">
        <v>113</v>
      </c>
      <c r="M249" s="8"/>
    </row>
    <row r="250" spans="1:13" outlineLevel="1" x14ac:dyDescent="0.2">
      <c r="A250" s="170">
        <v>36434</v>
      </c>
      <c r="B250" s="154">
        <f>27279/0.975</f>
        <v>27978.461538461539</v>
      </c>
      <c r="C250" s="154">
        <v>28984.473538461538</v>
      </c>
      <c r="D250" s="155">
        <v>-1006.0119999999999</v>
      </c>
      <c r="E250" s="164">
        <f t="shared" si="44"/>
        <v>-1.1214001255953159</v>
      </c>
      <c r="F250" s="155">
        <f t="shared" si="45"/>
        <v>946.03900000000181</v>
      </c>
      <c r="G250" s="155">
        <v>89650.379000000001</v>
      </c>
      <c r="H250" s="8"/>
      <c r="I250" s="1" t="s">
        <v>118</v>
      </c>
      <c r="J250" s="1" t="s">
        <v>119</v>
      </c>
      <c r="K250" s="1" t="s">
        <v>113</v>
      </c>
      <c r="M250" s="8"/>
    </row>
    <row r="251" spans="1:13" outlineLevel="1" x14ac:dyDescent="0.2">
      <c r="A251" s="170">
        <v>36465</v>
      </c>
      <c r="B251" s="154">
        <f>31438/0.975</f>
        <v>32244.102564102566</v>
      </c>
      <c r="C251" s="154">
        <v>32504.509564102565</v>
      </c>
      <c r="D251" s="155">
        <v>-260.40699999999998</v>
      </c>
      <c r="E251" s="164">
        <f t="shared" si="44"/>
        <v>-0.29046949148982404</v>
      </c>
      <c r="F251" s="155">
        <f t="shared" si="45"/>
        <v>255.93599999999498</v>
      </c>
      <c r="G251" s="155">
        <v>89645.907999999996</v>
      </c>
      <c r="H251" s="8"/>
      <c r="I251" s="1" t="s">
        <v>118</v>
      </c>
      <c r="J251" s="1" t="s">
        <v>119</v>
      </c>
      <c r="K251" s="1" t="s">
        <v>113</v>
      </c>
      <c r="M251" s="8"/>
    </row>
    <row r="252" spans="1:13" outlineLevel="1" x14ac:dyDescent="0.2">
      <c r="A252" s="170">
        <v>36495</v>
      </c>
      <c r="B252" s="154">
        <f>37805.61/0.975</f>
        <v>38774.984615384616</v>
      </c>
      <c r="C252" s="154">
        <v>38593.177615384615</v>
      </c>
      <c r="D252" s="155">
        <v>181.80699999999999</v>
      </c>
      <c r="E252" s="164">
        <f t="shared" si="44"/>
        <v>0.20280568746093797</v>
      </c>
      <c r="F252" s="155">
        <f t="shared" si="45"/>
        <v>610.02500000000941</v>
      </c>
      <c r="G252" s="155">
        <v>90437.74</v>
      </c>
      <c r="H252" s="8"/>
      <c r="I252" s="1" t="s">
        <v>118</v>
      </c>
      <c r="J252" s="1" t="s">
        <v>119</v>
      </c>
      <c r="K252" s="1" t="s">
        <v>113</v>
      </c>
      <c r="M252" s="8"/>
    </row>
    <row r="253" spans="1:13" x14ac:dyDescent="0.2">
      <c r="A253" s="151" t="s">
        <v>34</v>
      </c>
      <c r="B253" s="152">
        <f>SUM(B241:B252)</f>
        <v>333494.20512820513</v>
      </c>
      <c r="C253" s="152">
        <f>SUM(C241:C252)</f>
        <v>342234.40512820514</v>
      </c>
      <c r="D253" s="152">
        <f>SUM(D241:D252)</f>
        <v>-8740.1999999999989</v>
      </c>
      <c r="E253" s="163">
        <f>(D253/G240*100)</f>
        <v>-9.8716545979415073</v>
      </c>
      <c r="F253" s="152">
        <f>SUM(F241:F252)</f>
        <v>10639.591000000002</v>
      </c>
      <c r="G253" s="153">
        <f>G252</f>
        <v>90437.74</v>
      </c>
      <c r="I253" s="1" t="s">
        <v>118</v>
      </c>
      <c r="J253" s="1" t="s">
        <v>119</v>
      </c>
      <c r="K253" s="1" t="s">
        <v>113</v>
      </c>
    </row>
    <row r="254" spans="1:13" ht="20.100000000000001" customHeight="1" outlineLevel="1" x14ac:dyDescent="0.2">
      <c r="A254" s="170">
        <v>36526</v>
      </c>
      <c r="B254" s="154">
        <f>33374</f>
        <v>33374</v>
      </c>
      <c r="C254" s="154">
        <v>33020.072999999997</v>
      </c>
      <c r="D254" s="155">
        <v>353.92700000000002</v>
      </c>
      <c r="E254" s="164">
        <f>(D254/G252*100)</f>
        <v>0.39134878868047784</v>
      </c>
      <c r="F254" s="155">
        <f>(G254-G252)-D254</f>
        <v>680.32399999998927</v>
      </c>
      <c r="G254" s="155">
        <v>91471.990999999995</v>
      </c>
      <c r="H254" s="8"/>
      <c r="I254" s="1" t="s">
        <v>118</v>
      </c>
      <c r="J254" s="1" t="s">
        <v>119</v>
      </c>
      <c r="K254" s="1" t="s">
        <v>113</v>
      </c>
      <c r="M254" s="8"/>
    </row>
    <row r="255" spans="1:13" outlineLevel="1" x14ac:dyDescent="0.2">
      <c r="A255" s="170">
        <v>36557</v>
      </c>
      <c r="B255" s="154">
        <f>33000</f>
        <v>33000</v>
      </c>
      <c r="C255" s="154">
        <v>34296.57</v>
      </c>
      <c r="D255" s="155">
        <v>-1296.57</v>
      </c>
      <c r="E255" s="164">
        <f t="shared" ref="E255:E265" si="46">(D255/G254*100)</f>
        <v>-1.4174502881433948</v>
      </c>
      <c r="F255" s="155">
        <f t="shared" ref="F255:F265" si="47">(G255-G254-D255)</f>
        <v>641.87800000000448</v>
      </c>
      <c r="G255" s="155">
        <v>90817.298999999999</v>
      </c>
      <c r="H255" s="8"/>
      <c r="I255" s="1" t="s">
        <v>118</v>
      </c>
      <c r="J255" s="1" t="s">
        <v>119</v>
      </c>
      <c r="K255" s="1" t="s">
        <v>113</v>
      </c>
      <c r="M255" s="8"/>
    </row>
    <row r="256" spans="1:13" outlineLevel="1" x14ac:dyDescent="0.2">
      <c r="A256" s="170">
        <v>36586</v>
      </c>
      <c r="B256" s="154">
        <f>33443</f>
        <v>33443</v>
      </c>
      <c r="C256" s="154">
        <v>34613.972000000002</v>
      </c>
      <c r="D256" s="155">
        <v>-1170.972</v>
      </c>
      <c r="E256" s="164">
        <f t="shared" si="46"/>
        <v>-1.2893710921748509</v>
      </c>
      <c r="F256" s="155">
        <f t="shared" si="47"/>
        <v>565.13900000000126</v>
      </c>
      <c r="G256" s="155">
        <v>90211.466</v>
      </c>
      <c r="H256" s="8"/>
      <c r="I256" s="1" t="s">
        <v>118</v>
      </c>
      <c r="J256" s="1" t="s">
        <v>119</v>
      </c>
      <c r="K256" s="1" t="s">
        <v>113</v>
      </c>
      <c r="M256" s="8"/>
    </row>
    <row r="257" spans="1:13" outlineLevel="1" x14ac:dyDescent="0.2">
      <c r="A257" s="170">
        <v>36617</v>
      </c>
      <c r="B257" s="154">
        <f>30043</f>
        <v>30043</v>
      </c>
      <c r="C257" s="154">
        <v>30921.106</v>
      </c>
      <c r="D257" s="155">
        <v>-878.10599999999999</v>
      </c>
      <c r="E257" s="164">
        <f t="shared" si="46"/>
        <v>-0.97338624338507029</v>
      </c>
      <c r="F257" s="155">
        <f t="shared" si="47"/>
        <v>620.36900000000628</v>
      </c>
      <c r="G257" s="155">
        <v>89953.729000000007</v>
      </c>
      <c r="H257" s="8"/>
      <c r="I257" s="1" t="s">
        <v>118</v>
      </c>
      <c r="J257" s="1" t="s">
        <v>119</v>
      </c>
      <c r="K257" s="1" t="s">
        <v>113</v>
      </c>
      <c r="M257" s="8"/>
    </row>
    <row r="258" spans="1:13" outlineLevel="1" x14ac:dyDescent="0.2">
      <c r="A258" s="170">
        <v>36647</v>
      </c>
      <c r="B258" s="154">
        <f>32972</f>
        <v>32972</v>
      </c>
      <c r="C258" s="154">
        <v>34012.290999999997</v>
      </c>
      <c r="D258" s="155">
        <v>-1040.2909999999999</v>
      </c>
      <c r="E258" s="164">
        <f t="shared" si="46"/>
        <v>-1.1564734575928473</v>
      </c>
      <c r="F258" s="155">
        <f t="shared" si="47"/>
        <v>547.95400000000041</v>
      </c>
      <c r="G258" s="155">
        <v>89461.392000000007</v>
      </c>
      <c r="H258" s="8"/>
      <c r="I258" s="1" t="s">
        <v>118</v>
      </c>
      <c r="J258" s="1" t="s">
        <v>119</v>
      </c>
      <c r="K258" s="1" t="s">
        <v>113</v>
      </c>
      <c r="M258" s="8"/>
    </row>
    <row r="259" spans="1:13" outlineLevel="1" x14ac:dyDescent="0.2">
      <c r="A259" s="170">
        <v>36678</v>
      </c>
      <c r="B259" s="154">
        <f>32699.968</f>
        <v>32699.968000000001</v>
      </c>
      <c r="C259" s="154">
        <v>33126.968000000001</v>
      </c>
      <c r="D259" s="155">
        <v>-427</v>
      </c>
      <c r="E259" s="164">
        <f t="shared" si="46"/>
        <v>-0.47730086739540112</v>
      </c>
      <c r="F259" s="155">
        <f t="shared" si="47"/>
        <v>1030.804999999993</v>
      </c>
      <c r="G259" s="155">
        <v>90065.197</v>
      </c>
      <c r="H259" s="8"/>
      <c r="I259" s="1" t="s">
        <v>118</v>
      </c>
      <c r="J259" s="1" t="s">
        <v>119</v>
      </c>
      <c r="K259" s="1" t="s">
        <v>113</v>
      </c>
      <c r="M259" s="8"/>
    </row>
    <row r="260" spans="1:13" outlineLevel="1" x14ac:dyDescent="0.2">
      <c r="A260" s="170">
        <v>36708</v>
      </c>
      <c r="B260" s="154">
        <f>32793</f>
        <v>32793</v>
      </c>
      <c r="C260" s="154">
        <v>33486.317999999999</v>
      </c>
      <c r="D260" s="155">
        <v>-693.31799999999998</v>
      </c>
      <c r="E260" s="164">
        <f t="shared" si="46"/>
        <v>-0.76979568478598892</v>
      </c>
      <c r="F260" s="155">
        <f t="shared" si="47"/>
        <v>554.75500000000534</v>
      </c>
      <c r="G260" s="155">
        <v>89926.634000000005</v>
      </c>
      <c r="H260" s="8"/>
      <c r="I260" s="1" t="s">
        <v>118</v>
      </c>
      <c r="J260" s="1" t="s">
        <v>119</v>
      </c>
      <c r="K260" s="1" t="s">
        <v>113</v>
      </c>
      <c r="M260" s="8"/>
    </row>
    <row r="261" spans="1:13" outlineLevel="1" x14ac:dyDescent="0.2">
      <c r="A261" s="170">
        <v>36739</v>
      </c>
      <c r="B261" s="154">
        <f>35126</f>
        <v>35126</v>
      </c>
      <c r="C261" s="154">
        <v>35939.288999999997</v>
      </c>
      <c r="D261" s="155">
        <v>-813.28899999999999</v>
      </c>
      <c r="E261" s="164">
        <f t="shared" si="46"/>
        <v>-0.90439168444801343</v>
      </c>
      <c r="F261" s="155">
        <f t="shared" si="47"/>
        <v>590.7759999999937</v>
      </c>
      <c r="G261" s="155">
        <v>89704.120999999999</v>
      </c>
      <c r="H261" s="8"/>
      <c r="I261" s="1" t="s">
        <v>118</v>
      </c>
      <c r="J261" s="1" t="s">
        <v>119</v>
      </c>
      <c r="K261" s="1" t="s">
        <v>113</v>
      </c>
      <c r="M261" s="8"/>
    </row>
    <row r="262" spans="1:13" outlineLevel="1" x14ac:dyDescent="0.2">
      <c r="A262" s="170">
        <v>36770</v>
      </c>
      <c r="B262" s="154">
        <f>30980</f>
        <v>30980</v>
      </c>
      <c r="C262" s="154">
        <v>32576.870999999999</v>
      </c>
      <c r="D262" s="155">
        <v>-1596.8710000000001</v>
      </c>
      <c r="E262" s="164">
        <f t="shared" si="46"/>
        <v>-1.7801534446784224</v>
      </c>
      <c r="F262" s="155">
        <f t="shared" si="47"/>
        <v>541.10000000000673</v>
      </c>
      <c r="G262" s="155">
        <v>88648.35</v>
      </c>
      <c r="H262" s="8"/>
      <c r="I262" s="1" t="s">
        <v>118</v>
      </c>
      <c r="J262" s="1" t="s">
        <v>119</v>
      </c>
      <c r="K262" s="1" t="s">
        <v>113</v>
      </c>
      <c r="M262" s="8"/>
    </row>
    <row r="263" spans="1:13" outlineLevel="1" x14ac:dyDescent="0.2">
      <c r="A263" s="170">
        <v>36800</v>
      </c>
      <c r="B263" s="154">
        <f>31811</f>
        <v>31811</v>
      </c>
      <c r="C263" s="154">
        <v>32943.150999999998</v>
      </c>
      <c r="D263" s="155">
        <v>-1132.1510000000001</v>
      </c>
      <c r="E263" s="164">
        <f t="shared" si="46"/>
        <v>-1.2771258573904647</v>
      </c>
      <c r="F263" s="155">
        <f t="shared" si="47"/>
        <v>506.32799999999611</v>
      </c>
      <c r="G263" s="155">
        <v>88022.527000000002</v>
      </c>
      <c r="H263" s="8"/>
      <c r="I263" s="1" t="s">
        <v>118</v>
      </c>
      <c r="J263" s="1" t="s">
        <v>119</v>
      </c>
      <c r="K263" s="1" t="s">
        <v>113</v>
      </c>
      <c r="M263" s="8"/>
    </row>
    <row r="264" spans="1:13" outlineLevel="1" x14ac:dyDescent="0.2">
      <c r="A264" s="170">
        <v>36831</v>
      </c>
      <c r="B264" s="154">
        <f>38298</f>
        <v>38298</v>
      </c>
      <c r="C264" s="154">
        <v>38252.561999999998</v>
      </c>
      <c r="D264" s="155">
        <v>45.438000000000002</v>
      </c>
      <c r="E264" s="164">
        <f t="shared" si="46"/>
        <v>5.1620876551294652E-2</v>
      </c>
      <c r="F264" s="155">
        <f t="shared" si="47"/>
        <v>519.90499999999349</v>
      </c>
      <c r="G264" s="155">
        <v>88587.87</v>
      </c>
      <c r="H264" s="8"/>
      <c r="I264" s="1" t="s">
        <v>118</v>
      </c>
      <c r="J264" s="1" t="s">
        <v>119</v>
      </c>
      <c r="K264" s="1" t="s">
        <v>113</v>
      </c>
      <c r="M264" s="8"/>
    </row>
    <row r="265" spans="1:13" outlineLevel="1" x14ac:dyDescent="0.2">
      <c r="A265" s="170">
        <v>36861</v>
      </c>
      <c r="B265" s="154">
        <f>37597</f>
        <v>37597</v>
      </c>
      <c r="C265" s="154">
        <v>35303.760999999999</v>
      </c>
      <c r="D265" s="155">
        <v>2293.239</v>
      </c>
      <c r="E265" s="164">
        <f t="shared" si="46"/>
        <v>2.5886602759497435</v>
      </c>
      <c r="F265" s="155">
        <f t="shared" si="47"/>
        <v>549.34100000000171</v>
      </c>
      <c r="G265" s="155">
        <v>91430.45</v>
      </c>
      <c r="H265" s="8"/>
      <c r="I265" s="1" t="s">
        <v>118</v>
      </c>
      <c r="J265" s="1" t="s">
        <v>119</v>
      </c>
      <c r="K265" s="1" t="s">
        <v>113</v>
      </c>
      <c r="M265" s="8"/>
    </row>
    <row r="266" spans="1:13" x14ac:dyDescent="0.2">
      <c r="A266" s="151" t="s">
        <v>35</v>
      </c>
      <c r="B266" s="152">
        <f>SUM(B254:B265)</f>
        <v>402136.96799999999</v>
      </c>
      <c r="C266" s="152">
        <f>SUM(C254:C265)</f>
        <v>408492.93199999997</v>
      </c>
      <c r="D266" s="152">
        <f>SUM(D254:D265)</f>
        <v>-6355.9639999999999</v>
      </c>
      <c r="E266" s="163">
        <f>(D266/G253*100)</f>
        <v>-7.0279995939748154</v>
      </c>
      <c r="F266" s="152">
        <f>SUM(F254:F265)</f>
        <v>7348.6739999999918</v>
      </c>
      <c r="G266" s="153">
        <f>G265</f>
        <v>91430.45</v>
      </c>
      <c r="I266" s="1" t="s">
        <v>118</v>
      </c>
      <c r="J266" s="1" t="s">
        <v>119</v>
      </c>
      <c r="K266" s="1" t="s">
        <v>113</v>
      </c>
    </row>
    <row r="267" spans="1:13" ht="20.100000000000001" customHeight="1" outlineLevel="1" x14ac:dyDescent="0.2">
      <c r="A267" s="170">
        <v>36892</v>
      </c>
      <c r="B267" s="154">
        <f>34190</f>
        <v>34190</v>
      </c>
      <c r="C267" s="154">
        <v>34688.358</v>
      </c>
      <c r="D267" s="155">
        <v>-498.358</v>
      </c>
      <c r="E267" s="164">
        <f>(D267/G265*100)</f>
        <v>-0.54506786305875121</v>
      </c>
      <c r="F267" s="155">
        <f>(G267-G265)-D267</f>
        <v>518.06400000000554</v>
      </c>
      <c r="G267" s="155">
        <v>91450.156000000003</v>
      </c>
      <c r="H267" s="8"/>
      <c r="I267" s="1" t="s">
        <v>118</v>
      </c>
      <c r="J267" s="1" t="s">
        <v>119</v>
      </c>
      <c r="K267" s="1" t="s">
        <v>113</v>
      </c>
      <c r="M267" s="8"/>
    </row>
    <row r="268" spans="1:13" outlineLevel="1" x14ac:dyDescent="0.2">
      <c r="A268" s="170">
        <v>36923</v>
      </c>
      <c r="B268" s="154">
        <v>27918</v>
      </c>
      <c r="C268" s="154">
        <v>28207.544000000002</v>
      </c>
      <c r="D268" s="155">
        <v>-289.54399999999998</v>
      </c>
      <c r="E268" s="164">
        <f t="shared" ref="E268:E278" si="48">(D268/G267*100)</f>
        <v>-0.31661400337031681</v>
      </c>
      <c r="F268" s="155">
        <f t="shared" ref="F268:F278" si="49">(G268-G267-D268)</f>
        <v>546.95000000000266</v>
      </c>
      <c r="G268" s="155">
        <v>91707.562000000005</v>
      </c>
      <c r="H268" s="8"/>
      <c r="I268" s="1" t="s">
        <v>118</v>
      </c>
      <c r="J268" s="1" t="s">
        <v>119</v>
      </c>
      <c r="K268" s="1" t="s">
        <v>113</v>
      </c>
      <c r="M268" s="8"/>
    </row>
    <row r="269" spans="1:13" outlineLevel="1" x14ac:dyDescent="0.2">
      <c r="A269" s="170">
        <v>36951</v>
      </c>
      <c r="B269" s="154">
        <v>30922</v>
      </c>
      <c r="C269" s="154">
        <v>32033.683000000001</v>
      </c>
      <c r="D269" s="155">
        <v>-1111.683</v>
      </c>
      <c r="E269" s="164">
        <f t="shared" si="48"/>
        <v>-1.2122042891075875</v>
      </c>
      <c r="F269" s="155">
        <f t="shared" si="49"/>
        <v>471.53699999999208</v>
      </c>
      <c r="G269" s="155">
        <v>91067.415999999997</v>
      </c>
      <c r="H269" s="8"/>
      <c r="I269" s="1" t="s">
        <v>118</v>
      </c>
      <c r="J269" s="1" t="s">
        <v>119</v>
      </c>
      <c r="K269" s="1" t="s">
        <v>113</v>
      </c>
      <c r="M269" s="8"/>
    </row>
    <row r="270" spans="1:13" outlineLevel="1" x14ac:dyDescent="0.2">
      <c r="A270" s="170">
        <v>36982</v>
      </c>
      <c r="B270" s="154">
        <v>31200</v>
      </c>
      <c r="C270" s="154">
        <v>31824.127</v>
      </c>
      <c r="D270" s="155">
        <v>-624.12699999999995</v>
      </c>
      <c r="E270" s="164">
        <f t="shared" si="48"/>
        <v>-0.68534611764980791</v>
      </c>
      <c r="F270" s="155">
        <f t="shared" si="49"/>
        <v>439.8430000000003</v>
      </c>
      <c r="G270" s="155">
        <v>90883.131999999998</v>
      </c>
      <c r="H270" s="8"/>
      <c r="I270" s="1" t="s">
        <v>118</v>
      </c>
      <c r="J270" s="1" t="s">
        <v>119</v>
      </c>
      <c r="K270" s="1" t="s">
        <v>113</v>
      </c>
      <c r="M270" s="8"/>
    </row>
    <row r="271" spans="1:13" outlineLevel="1" x14ac:dyDescent="0.2">
      <c r="A271" s="170">
        <v>37012</v>
      </c>
      <c r="B271" s="154">
        <v>33282</v>
      </c>
      <c r="C271" s="154">
        <v>33039.281999999999</v>
      </c>
      <c r="D271" s="155">
        <v>242.71799999999999</v>
      </c>
      <c r="E271" s="164">
        <f t="shared" si="48"/>
        <v>0.26706606017935208</v>
      </c>
      <c r="F271" s="155">
        <f t="shared" si="49"/>
        <v>570.53899999999783</v>
      </c>
      <c r="G271" s="155">
        <v>91696.388999999996</v>
      </c>
      <c r="H271" s="8"/>
      <c r="I271" s="1" t="s">
        <v>118</v>
      </c>
      <c r="J271" s="1" t="s">
        <v>119</v>
      </c>
      <c r="K271" s="1" t="s">
        <v>113</v>
      </c>
      <c r="M271" s="8"/>
    </row>
    <row r="272" spans="1:13" outlineLevel="1" x14ac:dyDescent="0.2">
      <c r="A272" s="170">
        <v>37043</v>
      </c>
      <c r="B272" s="154">
        <v>32632</v>
      </c>
      <c r="C272" s="154">
        <v>32368.66</v>
      </c>
      <c r="D272" s="155">
        <v>263.33999999999997</v>
      </c>
      <c r="E272" s="164">
        <f t="shared" si="48"/>
        <v>0.28718688148123256</v>
      </c>
      <c r="F272" s="155">
        <f t="shared" si="49"/>
        <v>618.10800000000404</v>
      </c>
      <c r="G272" s="155">
        <v>92577.837</v>
      </c>
      <c r="H272" s="8"/>
      <c r="I272" s="1" t="s">
        <v>118</v>
      </c>
      <c r="J272" s="1" t="s">
        <v>119</v>
      </c>
      <c r="K272" s="1" t="s">
        <v>113</v>
      </c>
      <c r="M272" s="8"/>
    </row>
    <row r="273" spans="1:13" outlineLevel="1" x14ac:dyDescent="0.2">
      <c r="A273" s="170">
        <v>37073</v>
      </c>
      <c r="B273" s="154">
        <v>35087</v>
      </c>
      <c r="C273" s="154">
        <v>35454.936999999998</v>
      </c>
      <c r="D273" s="155">
        <v>-367.93700000000001</v>
      </c>
      <c r="E273" s="164">
        <f t="shared" si="48"/>
        <v>-0.39743529544765666</v>
      </c>
      <c r="F273" s="155">
        <f t="shared" si="49"/>
        <v>568.67700000000525</v>
      </c>
      <c r="G273" s="155">
        <v>92778.577000000005</v>
      </c>
      <c r="H273" s="8"/>
      <c r="I273" s="1" t="s">
        <v>118</v>
      </c>
      <c r="J273" s="1" t="s">
        <v>119</v>
      </c>
      <c r="K273" s="1" t="s">
        <v>113</v>
      </c>
      <c r="M273" s="8"/>
    </row>
    <row r="274" spans="1:13" outlineLevel="1" x14ac:dyDescent="0.2">
      <c r="A274" s="170">
        <v>37104</v>
      </c>
      <c r="B274" s="154">
        <v>34843</v>
      </c>
      <c r="C274" s="154">
        <v>35347.392</v>
      </c>
      <c r="D274" s="155">
        <v>-504.392</v>
      </c>
      <c r="E274" s="164">
        <f t="shared" si="48"/>
        <v>-0.54365136468950159</v>
      </c>
      <c r="F274" s="155">
        <f t="shared" si="49"/>
        <v>694.35499999998888</v>
      </c>
      <c r="G274" s="155">
        <v>92968.54</v>
      </c>
      <c r="H274" s="8"/>
      <c r="I274" s="1" t="s">
        <v>118</v>
      </c>
      <c r="J274" s="1" t="s">
        <v>119</v>
      </c>
      <c r="K274" s="1" t="s">
        <v>113</v>
      </c>
      <c r="M274" s="8"/>
    </row>
    <row r="275" spans="1:13" outlineLevel="1" x14ac:dyDescent="0.2">
      <c r="A275" s="170">
        <v>37135</v>
      </c>
      <c r="B275" s="154">
        <v>31530</v>
      </c>
      <c r="C275" s="154">
        <v>31833.545999999998</v>
      </c>
      <c r="D275" s="155">
        <v>-303.54599999999999</v>
      </c>
      <c r="E275" s="164">
        <f t="shared" si="48"/>
        <v>-0.32650399801911489</v>
      </c>
      <c r="F275" s="155">
        <f t="shared" si="49"/>
        <v>689.79300000000308</v>
      </c>
      <c r="G275" s="155">
        <v>93354.786999999997</v>
      </c>
      <c r="H275" s="8"/>
      <c r="I275" s="1" t="s">
        <v>118</v>
      </c>
      <c r="J275" s="1" t="s">
        <v>119</v>
      </c>
      <c r="K275" s="1" t="s">
        <v>113</v>
      </c>
      <c r="M275" s="8"/>
    </row>
    <row r="276" spans="1:13" outlineLevel="1" x14ac:dyDescent="0.2">
      <c r="A276" s="170">
        <v>37165</v>
      </c>
      <c r="B276" s="154">
        <v>35852</v>
      </c>
      <c r="C276" s="154">
        <v>36097.413999999997</v>
      </c>
      <c r="D276" s="155">
        <v>-245.41399999999999</v>
      </c>
      <c r="E276" s="164">
        <f t="shared" si="48"/>
        <v>-0.2628831449211062</v>
      </c>
      <c r="F276" s="155">
        <f t="shared" si="49"/>
        <v>625.10299999999847</v>
      </c>
      <c r="G276" s="155">
        <v>93734.475999999995</v>
      </c>
      <c r="H276" s="8"/>
      <c r="I276" s="1" t="s">
        <v>118</v>
      </c>
      <c r="J276" s="1" t="s">
        <v>119</v>
      </c>
      <c r="K276" s="1" t="s">
        <v>113</v>
      </c>
      <c r="M276" s="8"/>
    </row>
    <row r="277" spans="1:13" outlineLevel="1" x14ac:dyDescent="0.2">
      <c r="A277" s="170">
        <v>37196</v>
      </c>
      <c r="B277" s="154">
        <v>35801.421999999999</v>
      </c>
      <c r="C277" s="154">
        <v>35128.203000000001</v>
      </c>
      <c r="D277" s="155">
        <v>673.21900000000005</v>
      </c>
      <c r="E277" s="164">
        <f t="shared" si="48"/>
        <v>0.71821919610453688</v>
      </c>
      <c r="F277" s="155">
        <f t="shared" si="49"/>
        <v>656.13699999999972</v>
      </c>
      <c r="G277" s="155">
        <v>95063.831999999995</v>
      </c>
      <c r="H277" s="8"/>
      <c r="I277" s="1" t="s">
        <v>118</v>
      </c>
      <c r="J277" s="1" t="s">
        <v>119</v>
      </c>
      <c r="K277" s="1" t="s">
        <v>113</v>
      </c>
      <c r="M277" s="8"/>
    </row>
    <row r="278" spans="1:13" outlineLevel="1" x14ac:dyDescent="0.2">
      <c r="A278" s="170">
        <v>37226</v>
      </c>
      <c r="B278" s="154">
        <v>42930.474000000002</v>
      </c>
      <c r="C278" s="154">
        <v>41484.131000000001</v>
      </c>
      <c r="D278" s="155">
        <v>1446.3430000000001</v>
      </c>
      <c r="E278" s="164">
        <f t="shared" si="48"/>
        <v>1.5214440335205508</v>
      </c>
      <c r="F278" s="155">
        <f t="shared" si="49"/>
        <v>636.07500000000505</v>
      </c>
      <c r="G278" s="155">
        <v>97146.25</v>
      </c>
      <c r="H278" s="8"/>
      <c r="I278" s="1" t="s">
        <v>118</v>
      </c>
      <c r="J278" s="1" t="s">
        <v>119</v>
      </c>
      <c r="K278" s="1" t="s">
        <v>113</v>
      </c>
      <c r="M278" s="8"/>
    </row>
    <row r="279" spans="1:13" x14ac:dyDescent="0.2">
      <c r="A279" s="151" t="s">
        <v>36</v>
      </c>
      <c r="B279" s="152">
        <f>SUM(B267:B278)</f>
        <v>406187.89600000001</v>
      </c>
      <c r="C279" s="152">
        <f>SUM(C267:C278)</f>
        <v>407507.27699999994</v>
      </c>
      <c r="D279" s="152">
        <f>SUM(D267:D278)</f>
        <v>-1319.3810000000001</v>
      </c>
      <c r="E279" s="163">
        <f>(D279/G266*100)</f>
        <v>-1.4430433187193108</v>
      </c>
      <c r="F279" s="152">
        <f>SUM(F267:F278)</f>
        <v>7035.1810000000032</v>
      </c>
      <c r="G279" s="153">
        <f>G278</f>
        <v>97146.25</v>
      </c>
      <c r="I279" s="1" t="s">
        <v>118</v>
      </c>
      <c r="J279" s="1" t="s">
        <v>119</v>
      </c>
      <c r="K279" s="1" t="s">
        <v>113</v>
      </c>
    </row>
    <row r="280" spans="1:13" ht="20.100000000000001" customHeight="1" outlineLevel="1" x14ac:dyDescent="0.2">
      <c r="A280" s="170">
        <v>37257</v>
      </c>
      <c r="B280" s="154">
        <v>38795.783000000003</v>
      </c>
      <c r="C280" s="154">
        <v>39733.161</v>
      </c>
      <c r="D280" s="155">
        <v>-937.37800000000004</v>
      </c>
      <c r="E280" s="164">
        <f>(D280/G278*100)</f>
        <v>-0.9649142401276426</v>
      </c>
      <c r="F280" s="155">
        <f>(G280-G278)-D280</f>
        <v>638.11400000000447</v>
      </c>
      <c r="G280" s="155">
        <v>96846.986000000004</v>
      </c>
      <c r="H280" s="8"/>
      <c r="I280" s="1" t="s">
        <v>118</v>
      </c>
      <c r="J280" s="1" t="s">
        <v>119</v>
      </c>
      <c r="K280" s="1" t="s">
        <v>113</v>
      </c>
      <c r="M280" s="8"/>
    </row>
    <row r="281" spans="1:13" outlineLevel="1" x14ac:dyDescent="0.2">
      <c r="A281" s="170">
        <v>37288</v>
      </c>
      <c r="B281" s="154">
        <v>33976.796000000002</v>
      </c>
      <c r="C281" s="154">
        <v>34118.173000000003</v>
      </c>
      <c r="D281" s="155">
        <v>-141.37700000000001</v>
      </c>
      <c r="E281" s="164">
        <f t="shared" ref="E281:E291" si="50">(D281/G280*100)</f>
        <v>-0.14597976234386892</v>
      </c>
      <c r="F281" s="155">
        <f t="shared" ref="F281:F291" si="51">(G281-G280-D281)</f>
        <v>656.13500000000158</v>
      </c>
      <c r="G281" s="155">
        <v>97361.744000000006</v>
      </c>
      <c r="H281" s="8"/>
      <c r="I281" s="1" t="s">
        <v>118</v>
      </c>
      <c r="J281" s="1" t="s">
        <v>119</v>
      </c>
      <c r="K281" s="1" t="s">
        <v>113</v>
      </c>
      <c r="M281" s="8"/>
    </row>
    <row r="282" spans="1:13" outlineLevel="1" x14ac:dyDescent="0.2">
      <c r="A282" s="170">
        <v>37316</v>
      </c>
      <c r="B282" s="154">
        <v>35304.817999999999</v>
      </c>
      <c r="C282" s="154">
        <v>35697.910000000003</v>
      </c>
      <c r="D282" s="155">
        <v>-393.09199999999998</v>
      </c>
      <c r="E282" s="164">
        <f t="shared" si="50"/>
        <v>-0.40374379489340284</v>
      </c>
      <c r="F282" s="155">
        <f t="shared" si="51"/>
        <v>594.78799999999626</v>
      </c>
      <c r="G282" s="155">
        <v>97563.44</v>
      </c>
      <c r="H282" s="8"/>
      <c r="I282" s="1" t="s">
        <v>118</v>
      </c>
      <c r="J282" s="1" t="s">
        <v>119</v>
      </c>
      <c r="K282" s="1" t="s">
        <v>113</v>
      </c>
      <c r="M282" s="8"/>
    </row>
    <row r="283" spans="1:13" outlineLevel="1" x14ac:dyDescent="0.2">
      <c r="A283" s="170">
        <v>37347</v>
      </c>
      <c r="B283" s="154">
        <v>37753.654999999999</v>
      </c>
      <c r="C283" s="154">
        <v>38725.851999999999</v>
      </c>
      <c r="D283" s="155">
        <v>-972.197</v>
      </c>
      <c r="E283" s="164">
        <f t="shared" si="50"/>
        <v>-0.99647675399719393</v>
      </c>
      <c r="F283" s="155">
        <f t="shared" si="51"/>
        <v>629.3899999999993</v>
      </c>
      <c r="G283" s="155">
        <v>97220.633000000002</v>
      </c>
      <c r="H283" s="8"/>
      <c r="I283" s="1" t="s">
        <v>118</v>
      </c>
      <c r="J283" s="1" t="s">
        <v>119</v>
      </c>
      <c r="K283" s="1" t="s">
        <v>113</v>
      </c>
      <c r="M283" s="8"/>
    </row>
    <row r="284" spans="1:13" outlineLevel="1" x14ac:dyDescent="0.2">
      <c r="A284" s="170">
        <v>37377</v>
      </c>
      <c r="B284" s="154">
        <v>37375.417000000001</v>
      </c>
      <c r="C284" s="154">
        <v>37538.434000000001</v>
      </c>
      <c r="D284" s="155">
        <v>-163.017</v>
      </c>
      <c r="E284" s="164">
        <f t="shared" si="50"/>
        <v>-0.1676773694736178</v>
      </c>
      <c r="F284" s="155">
        <f t="shared" si="51"/>
        <v>638.85900000000424</v>
      </c>
      <c r="G284" s="155">
        <v>97696.475000000006</v>
      </c>
      <c r="H284" s="8"/>
      <c r="I284" s="1" t="s">
        <v>118</v>
      </c>
      <c r="J284" s="1" t="s">
        <v>119</v>
      </c>
      <c r="K284" s="1" t="s">
        <v>113</v>
      </c>
      <c r="M284" s="8"/>
    </row>
    <row r="285" spans="1:13" outlineLevel="1" x14ac:dyDescent="0.2">
      <c r="A285" s="170">
        <v>37408</v>
      </c>
      <c r="B285" s="154">
        <v>39885.163</v>
      </c>
      <c r="C285" s="154">
        <v>35456.578999999998</v>
      </c>
      <c r="D285" s="155">
        <v>4428.5839999999998</v>
      </c>
      <c r="E285" s="164">
        <f t="shared" si="50"/>
        <v>4.5330028539924285</v>
      </c>
      <c r="F285" s="155">
        <f t="shared" si="51"/>
        <v>607.47899999999481</v>
      </c>
      <c r="G285" s="155">
        <v>102732.538</v>
      </c>
      <c r="H285" s="8"/>
      <c r="I285" s="1" t="s">
        <v>118</v>
      </c>
      <c r="J285" s="1" t="s">
        <v>119</v>
      </c>
      <c r="K285" s="1" t="s">
        <v>113</v>
      </c>
      <c r="M285" s="8"/>
    </row>
    <row r="286" spans="1:13" outlineLevel="1" x14ac:dyDescent="0.2">
      <c r="A286" s="170">
        <v>37438</v>
      </c>
      <c r="B286" s="154">
        <v>42979.249000000003</v>
      </c>
      <c r="C286" s="154">
        <v>40440.038</v>
      </c>
      <c r="D286" s="155">
        <v>2539.2109999999998</v>
      </c>
      <c r="E286" s="164">
        <f t="shared" si="50"/>
        <v>2.4716716333825994</v>
      </c>
      <c r="F286" s="155">
        <f t="shared" si="51"/>
        <v>662.95099999999684</v>
      </c>
      <c r="G286" s="155">
        <v>105934.7</v>
      </c>
      <c r="H286" s="8"/>
      <c r="I286" s="1" t="s">
        <v>118</v>
      </c>
      <c r="J286" s="1" t="s">
        <v>119</v>
      </c>
      <c r="K286" s="1" t="s">
        <v>113</v>
      </c>
      <c r="M286" s="8"/>
    </row>
    <row r="287" spans="1:13" outlineLevel="1" x14ac:dyDescent="0.2">
      <c r="A287" s="170">
        <v>37469</v>
      </c>
      <c r="B287" s="154">
        <v>42015.11</v>
      </c>
      <c r="C287" s="154">
        <v>39437.980000000003</v>
      </c>
      <c r="D287" s="155">
        <v>2577.13</v>
      </c>
      <c r="E287" s="164">
        <f t="shared" si="50"/>
        <v>2.4327533848682257</v>
      </c>
      <c r="F287" s="155">
        <f t="shared" si="51"/>
        <v>744.7840000000042</v>
      </c>
      <c r="G287" s="155">
        <v>109256.614</v>
      </c>
      <c r="H287" s="8"/>
      <c r="I287" s="1" t="s">
        <v>118</v>
      </c>
      <c r="J287" s="1" t="s">
        <v>119</v>
      </c>
      <c r="K287" s="1" t="s">
        <v>113</v>
      </c>
      <c r="M287" s="8"/>
    </row>
    <row r="288" spans="1:13" outlineLevel="1" x14ac:dyDescent="0.2">
      <c r="A288" s="170">
        <v>37500</v>
      </c>
      <c r="B288" s="154">
        <v>40641.315000000002</v>
      </c>
      <c r="C288" s="154">
        <v>39830.51</v>
      </c>
      <c r="D288" s="155">
        <v>810.80499999999995</v>
      </c>
      <c r="E288" s="164">
        <f t="shared" si="50"/>
        <v>0.74211067899285243</v>
      </c>
      <c r="F288" s="155">
        <f t="shared" si="51"/>
        <v>741.59000000000412</v>
      </c>
      <c r="G288" s="155">
        <v>110809.00900000001</v>
      </c>
      <c r="H288" s="8"/>
      <c r="I288" s="1" t="s">
        <v>118</v>
      </c>
      <c r="J288" s="1" t="s">
        <v>119</v>
      </c>
      <c r="K288" s="1" t="s">
        <v>113</v>
      </c>
      <c r="M288" s="8"/>
    </row>
    <row r="289" spans="1:13" outlineLevel="1" x14ac:dyDescent="0.2">
      <c r="A289" s="170">
        <v>37530</v>
      </c>
      <c r="B289" s="154">
        <v>42626.517999999996</v>
      </c>
      <c r="C289" s="154">
        <v>42962.676999999996</v>
      </c>
      <c r="D289" s="155">
        <v>-336.15899999999999</v>
      </c>
      <c r="E289" s="164">
        <f t="shared" si="50"/>
        <v>-0.30336793283658009</v>
      </c>
      <c r="F289" s="155">
        <f t="shared" si="51"/>
        <v>729.69599999999662</v>
      </c>
      <c r="G289" s="155">
        <v>111202.546</v>
      </c>
      <c r="H289" s="8"/>
      <c r="I289" s="1" t="s">
        <v>118</v>
      </c>
      <c r="J289" s="1" t="s">
        <v>119</v>
      </c>
      <c r="K289" s="1" t="s">
        <v>113</v>
      </c>
      <c r="M289" s="8"/>
    </row>
    <row r="290" spans="1:13" outlineLevel="1" x14ac:dyDescent="0.2">
      <c r="A290" s="170">
        <v>37561</v>
      </c>
      <c r="B290" s="154">
        <v>40335.173999999999</v>
      </c>
      <c r="C290" s="154">
        <v>40409.627</v>
      </c>
      <c r="D290" s="155">
        <v>-74.453000000000003</v>
      </c>
      <c r="E290" s="164">
        <f t="shared" si="50"/>
        <v>-6.6952603765025306E-2</v>
      </c>
      <c r="F290" s="155">
        <f t="shared" si="51"/>
        <v>804.99399999999741</v>
      </c>
      <c r="G290" s="155">
        <v>111933.087</v>
      </c>
      <c r="H290" s="8"/>
      <c r="I290" s="1" t="s">
        <v>118</v>
      </c>
      <c r="J290" s="1" t="s">
        <v>119</v>
      </c>
      <c r="K290" s="1" t="s">
        <v>113</v>
      </c>
      <c r="M290" s="8"/>
    </row>
    <row r="291" spans="1:13" outlineLevel="1" x14ac:dyDescent="0.2">
      <c r="A291" s="170">
        <v>37591</v>
      </c>
      <c r="B291" s="154">
        <v>50270.436999999998</v>
      </c>
      <c r="C291" s="154">
        <v>50600.212</v>
      </c>
      <c r="D291" s="155">
        <v>-329.77499999999998</v>
      </c>
      <c r="E291" s="164">
        <f t="shared" si="50"/>
        <v>-0.29461798011520934</v>
      </c>
      <c r="F291" s="155">
        <f t="shared" si="51"/>
        <v>820.13200000000359</v>
      </c>
      <c r="G291" s="155">
        <v>112423.444</v>
      </c>
      <c r="H291" s="8"/>
      <c r="I291" s="1" t="s">
        <v>118</v>
      </c>
      <c r="J291" s="1" t="s">
        <v>119</v>
      </c>
      <c r="K291" s="1" t="s">
        <v>113</v>
      </c>
      <c r="M291" s="8"/>
    </row>
    <row r="292" spans="1:13" x14ac:dyDescent="0.2">
      <c r="A292" s="151" t="s">
        <v>37</v>
      </c>
      <c r="B292" s="152">
        <f>SUM(B280:B291)</f>
        <v>481959.43499999994</v>
      </c>
      <c r="C292" s="152">
        <f>SUM(C280:C291)</f>
        <v>474951.15299999999</v>
      </c>
      <c r="D292" s="152">
        <f>SUM(D280:D291)</f>
        <v>7008.2820000000002</v>
      </c>
      <c r="E292" s="163">
        <f>(D292/G279*100)</f>
        <v>7.2141559761699501</v>
      </c>
      <c r="F292" s="152">
        <f>SUM(F280:F291)</f>
        <v>8268.9120000000039</v>
      </c>
      <c r="G292" s="153">
        <f>G291</f>
        <v>112423.444</v>
      </c>
      <c r="I292" s="1" t="s">
        <v>118</v>
      </c>
      <c r="J292" s="1" t="s">
        <v>119</v>
      </c>
      <c r="K292" s="1" t="s">
        <v>113</v>
      </c>
    </row>
    <row r="293" spans="1:13" ht="20.100000000000001" customHeight="1" outlineLevel="1" x14ac:dyDescent="0.2">
      <c r="A293" s="170">
        <v>37622</v>
      </c>
      <c r="B293" s="154">
        <v>42350</v>
      </c>
      <c r="C293" s="154">
        <f t="shared" ref="C293:C304" si="52">B293-D293</f>
        <v>43353.438000000002</v>
      </c>
      <c r="D293" s="155">
        <v>-1003.438</v>
      </c>
      <c r="E293" s="164">
        <f>(D293/G291*100)</f>
        <v>-0.89255226872430626</v>
      </c>
      <c r="F293" s="155">
        <f>(G293-G291-D293)</f>
        <v>897.27499999999952</v>
      </c>
      <c r="G293" s="155">
        <v>112317.281</v>
      </c>
      <c r="H293" s="8"/>
      <c r="I293" s="1" t="s">
        <v>118</v>
      </c>
      <c r="J293" s="1" t="s">
        <v>119</v>
      </c>
      <c r="K293" s="1" t="s">
        <v>113</v>
      </c>
      <c r="M293" s="8"/>
    </row>
    <row r="294" spans="1:13" outlineLevel="1" x14ac:dyDescent="0.2">
      <c r="A294" s="170">
        <v>37653</v>
      </c>
      <c r="B294" s="154">
        <v>40250</v>
      </c>
      <c r="C294" s="154">
        <f t="shared" si="52"/>
        <v>41415.648000000001</v>
      </c>
      <c r="D294" s="155">
        <v>-1165.6479999999999</v>
      </c>
      <c r="E294" s="164">
        <f t="shared" ref="E294:E304" si="53">(D294/G293*100)</f>
        <v>-1.0378171458762431</v>
      </c>
      <c r="F294" s="155">
        <f t="shared" ref="F294:F304" si="54">(G294-G293-D294)</f>
        <v>1015.3809999999928</v>
      </c>
      <c r="G294" s="155">
        <v>112167.014</v>
      </c>
      <c r="H294" s="8"/>
      <c r="I294" s="1" t="s">
        <v>118</v>
      </c>
      <c r="J294" s="1" t="s">
        <v>119</v>
      </c>
      <c r="K294" s="1" t="s">
        <v>113</v>
      </c>
      <c r="M294" s="8"/>
    </row>
    <row r="295" spans="1:13" outlineLevel="1" x14ac:dyDescent="0.2">
      <c r="A295" s="170">
        <v>37681</v>
      </c>
      <c r="B295" s="154">
        <v>38188.510999999999</v>
      </c>
      <c r="C295" s="154">
        <f t="shared" si="52"/>
        <v>40108.902000000002</v>
      </c>
      <c r="D295" s="155">
        <v>-1920.3910000000001</v>
      </c>
      <c r="E295" s="164">
        <f t="shared" si="53"/>
        <v>-1.7120817712059269</v>
      </c>
      <c r="F295" s="155">
        <f t="shared" si="54"/>
        <v>893.93700000000217</v>
      </c>
      <c r="G295" s="155">
        <v>111140.56</v>
      </c>
      <c r="H295" s="8"/>
      <c r="I295" s="1" t="s">
        <v>118</v>
      </c>
      <c r="J295" s="1" t="s">
        <v>119</v>
      </c>
      <c r="K295" s="1" t="s">
        <v>113</v>
      </c>
      <c r="M295" s="8"/>
    </row>
    <row r="296" spans="1:13" outlineLevel="1" x14ac:dyDescent="0.2">
      <c r="A296" s="170">
        <v>37712</v>
      </c>
      <c r="B296" s="154">
        <v>39626</v>
      </c>
      <c r="C296" s="154">
        <f t="shared" si="52"/>
        <v>41426.322999999997</v>
      </c>
      <c r="D296" s="155">
        <v>-1800.3230000000001</v>
      </c>
      <c r="E296" s="164">
        <f t="shared" si="53"/>
        <v>-1.6198613719419805</v>
      </c>
      <c r="F296" s="155">
        <f t="shared" si="54"/>
        <v>1012.2070000000056</v>
      </c>
      <c r="G296" s="155">
        <v>110352.444</v>
      </c>
      <c r="H296" s="8"/>
      <c r="I296" s="1" t="s">
        <v>118</v>
      </c>
      <c r="J296" s="1" t="s">
        <v>119</v>
      </c>
      <c r="K296" s="1" t="s">
        <v>113</v>
      </c>
      <c r="M296" s="8"/>
    </row>
    <row r="297" spans="1:13" outlineLevel="1" x14ac:dyDescent="0.2">
      <c r="A297" s="170">
        <v>37742</v>
      </c>
      <c r="B297" s="154">
        <v>41674</v>
      </c>
      <c r="C297" s="154">
        <f t="shared" si="52"/>
        <v>42900.597000000002</v>
      </c>
      <c r="D297" s="155">
        <v>-1226.597</v>
      </c>
      <c r="E297" s="164">
        <f t="shared" si="53"/>
        <v>-1.1115268095013826</v>
      </c>
      <c r="F297" s="155">
        <f t="shared" si="54"/>
        <v>906.32100000000196</v>
      </c>
      <c r="G297" s="155">
        <v>110032.16800000001</v>
      </c>
      <c r="H297" s="8"/>
      <c r="I297" s="1" t="s">
        <v>118</v>
      </c>
      <c r="J297" s="1" t="s">
        <v>119</v>
      </c>
      <c r="K297" s="1" t="s">
        <v>113</v>
      </c>
      <c r="M297" s="8"/>
    </row>
    <row r="298" spans="1:13" outlineLevel="1" x14ac:dyDescent="0.2">
      <c r="A298" s="170">
        <v>37773</v>
      </c>
      <c r="B298" s="154">
        <v>41233</v>
      </c>
      <c r="C298" s="154">
        <f t="shared" si="52"/>
        <v>42245.622000000003</v>
      </c>
      <c r="D298" s="155">
        <v>-1012.622</v>
      </c>
      <c r="E298" s="164">
        <f t="shared" si="53"/>
        <v>-0.92029632643428405</v>
      </c>
      <c r="F298" s="155">
        <f t="shared" si="54"/>
        <v>1012.4019999999988</v>
      </c>
      <c r="G298" s="155">
        <v>110031.948</v>
      </c>
      <c r="H298" s="8"/>
      <c r="I298" s="1" t="s">
        <v>118</v>
      </c>
      <c r="J298" s="1" t="s">
        <v>119</v>
      </c>
      <c r="K298" s="1" t="s">
        <v>113</v>
      </c>
      <c r="M298" s="8"/>
    </row>
    <row r="299" spans="1:13" outlineLevel="1" x14ac:dyDescent="0.2">
      <c r="A299" s="170">
        <v>37803</v>
      </c>
      <c r="B299" s="154">
        <v>44316</v>
      </c>
      <c r="C299" s="154">
        <f t="shared" si="52"/>
        <v>44816.427000000003</v>
      </c>
      <c r="D299" s="155">
        <v>-500.42700000000002</v>
      </c>
      <c r="E299" s="164">
        <f t="shared" si="53"/>
        <v>-0.45480154545659779</v>
      </c>
      <c r="F299" s="155">
        <f t="shared" si="54"/>
        <v>983.41099999999676</v>
      </c>
      <c r="G299" s="155">
        <v>110514.932</v>
      </c>
      <c r="H299" s="8"/>
      <c r="I299" s="1" t="s">
        <v>118</v>
      </c>
      <c r="J299" s="1" t="s">
        <v>119</v>
      </c>
      <c r="K299" s="1" t="s">
        <v>113</v>
      </c>
      <c r="M299" s="8"/>
    </row>
    <row r="300" spans="1:13" outlineLevel="1" x14ac:dyDescent="0.2">
      <c r="A300" s="170">
        <v>37834</v>
      </c>
      <c r="B300" s="154">
        <v>41120</v>
      </c>
      <c r="C300" s="154">
        <f t="shared" si="52"/>
        <v>41581.872000000003</v>
      </c>
      <c r="D300" s="155">
        <v>-461.87200000000001</v>
      </c>
      <c r="E300" s="164">
        <f t="shared" si="53"/>
        <v>-0.41792723538933185</v>
      </c>
      <c r="F300" s="155">
        <f t="shared" si="54"/>
        <v>1013.1940000000002</v>
      </c>
      <c r="G300" s="155">
        <v>111066.254</v>
      </c>
      <c r="H300" s="8"/>
      <c r="I300" s="1" t="s">
        <v>118</v>
      </c>
      <c r="J300" s="1" t="s">
        <v>119</v>
      </c>
      <c r="K300" s="1" t="s">
        <v>113</v>
      </c>
      <c r="M300" s="8"/>
    </row>
    <row r="301" spans="1:13" outlineLevel="1" x14ac:dyDescent="0.2">
      <c r="A301" s="170">
        <v>37865</v>
      </c>
      <c r="B301" s="154">
        <v>43133.201000000001</v>
      </c>
      <c r="C301" s="154">
        <f t="shared" si="52"/>
        <v>44172.652000000002</v>
      </c>
      <c r="D301" s="155">
        <v>-1039.451</v>
      </c>
      <c r="E301" s="164">
        <f t="shared" si="53"/>
        <v>-0.93588372936391651</v>
      </c>
      <c r="F301" s="155">
        <f t="shared" si="54"/>
        <v>919.16299999999956</v>
      </c>
      <c r="G301" s="155">
        <v>110945.966</v>
      </c>
      <c r="H301" s="8"/>
      <c r="I301" s="1" t="s">
        <v>118</v>
      </c>
      <c r="J301" s="1" t="s">
        <v>119</v>
      </c>
      <c r="K301" s="1" t="s">
        <v>113</v>
      </c>
      <c r="M301" s="8"/>
    </row>
    <row r="302" spans="1:13" outlineLevel="1" x14ac:dyDescent="0.2">
      <c r="A302" s="170">
        <v>37895</v>
      </c>
      <c r="B302" s="154">
        <v>43945.514999999999</v>
      </c>
      <c r="C302" s="154">
        <f t="shared" si="52"/>
        <v>44834.432999999997</v>
      </c>
      <c r="D302" s="155">
        <v>-888.91800000000001</v>
      </c>
      <c r="E302" s="164">
        <f t="shared" si="53"/>
        <v>-0.80121705371423779</v>
      </c>
      <c r="F302" s="155">
        <f t="shared" si="54"/>
        <v>840.81799999999419</v>
      </c>
      <c r="G302" s="155">
        <v>110897.86599999999</v>
      </c>
      <c r="H302" s="8"/>
      <c r="I302" s="1" t="s">
        <v>118</v>
      </c>
      <c r="J302" s="1" t="s">
        <v>119</v>
      </c>
      <c r="K302" s="1" t="s">
        <v>113</v>
      </c>
      <c r="M302" s="8"/>
    </row>
    <row r="303" spans="1:13" outlineLevel="1" x14ac:dyDescent="0.2">
      <c r="A303" s="170">
        <v>37926</v>
      </c>
      <c r="B303" s="154">
        <v>42978.633000000002</v>
      </c>
      <c r="C303" s="154">
        <f t="shared" si="52"/>
        <v>42048.582000000002</v>
      </c>
      <c r="D303" s="155">
        <v>930.05100000000004</v>
      </c>
      <c r="E303" s="164">
        <f t="shared" si="53"/>
        <v>0.83865545257651775</v>
      </c>
      <c r="F303" s="155">
        <f t="shared" si="54"/>
        <v>803.58300000000543</v>
      </c>
      <c r="G303" s="155">
        <v>112631.5</v>
      </c>
      <c r="H303" s="8"/>
      <c r="I303" s="1" t="s">
        <v>118</v>
      </c>
      <c r="J303" s="1" t="s">
        <v>119</v>
      </c>
      <c r="K303" s="1" t="s">
        <v>113</v>
      </c>
      <c r="M303" s="8"/>
    </row>
    <row r="304" spans="1:13" outlineLevel="1" x14ac:dyDescent="0.2">
      <c r="A304" s="170">
        <v>37956</v>
      </c>
      <c r="B304" s="154">
        <v>57010.502999999997</v>
      </c>
      <c r="C304" s="154">
        <f t="shared" si="52"/>
        <v>55099.752999999997</v>
      </c>
      <c r="D304" s="155">
        <v>1910.75</v>
      </c>
      <c r="E304" s="164">
        <f t="shared" si="53"/>
        <v>1.6964614694823386</v>
      </c>
      <c r="F304" s="155">
        <f t="shared" si="54"/>
        <v>715.77099999999336</v>
      </c>
      <c r="G304" s="155">
        <v>115258.02099999999</v>
      </c>
      <c r="H304" s="8"/>
      <c r="I304" s="1" t="s">
        <v>118</v>
      </c>
      <c r="J304" s="1" t="s">
        <v>119</v>
      </c>
      <c r="K304" s="1" t="s">
        <v>113</v>
      </c>
      <c r="M304" s="8"/>
    </row>
    <row r="305" spans="1:13" x14ac:dyDescent="0.2">
      <c r="A305" s="151" t="s">
        <v>38</v>
      </c>
      <c r="B305" s="152">
        <f>SUM(B293:B304)</f>
        <v>515825.36300000001</v>
      </c>
      <c r="C305" s="152">
        <f>SUM(C293:C304)</f>
        <v>524004.24900000007</v>
      </c>
      <c r="D305" s="152">
        <f>SUM(D293:D304)</f>
        <v>-8178.8860000000004</v>
      </c>
      <c r="E305" s="163">
        <f>(D305/G292*100)</f>
        <v>-7.2750715589179071</v>
      </c>
      <c r="F305" s="152">
        <f>SUM(F293:F304)</f>
        <v>11013.462999999991</v>
      </c>
      <c r="G305" s="153">
        <f>G304</f>
        <v>115258.02099999999</v>
      </c>
      <c r="I305" s="1" t="s">
        <v>118</v>
      </c>
      <c r="J305" s="1" t="s">
        <v>119</v>
      </c>
      <c r="K305" s="1" t="s">
        <v>113</v>
      </c>
    </row>
    <row r="306" spans="1:13" ht="20.100000000000001" customHeight="1" outlineLevel="1" x14ac:dyDescent="0.2">
      <c r="A306" s="170">
        <v>37987</v>
      </c>
      <c r="B306" s="154">
        <v>45415.510999999999</v>
      </c>
      <c r="C306" s="154">
        <v>46053.038999999997</v>
      </c>
      <c r="D306" s="155">
        <v>-637.52800000000002</v>
      </c>
      <c r="E306" s="164">
        <f>(D306/G304*100)</f>
        <v>-0.55313113522919155</v>
      </c>
      <c r="F306" s="155">
        <f>(G306-G304-D306)</f>
        <v>685.76200000001131</v>
      </c>
      <c r="G306" s="155">
        <v>115306.255</v>
      </c>
      <c r="H306" s="8"/>
      <c r="I306" s="1" t="s">
        <v>118</v>
      </c>
      <c r="J306" s="1" t="s">
        <v>119</v>
      </c>
      <c r="K306" s="1" t="s">
        <v>113</v>
      </c>
      <c r="M306" s="8"/>
    </row>
    <row r="307" spans="1:13" outlineLevel="1" x14ac:dyDescent="0.2">
      <c r="A307" s="170">
        <v>38018</v>
      </c>
      <c r="B307" s="154">
        <v>42275.872000000003</v>
      </c>
      <c r="C307" s="154">
        <v>42620.72</v>
      </c>
      <c r="D307" s="155">
        <v>-344.84800000000001</v>
      </c>
      <c r="E307" s="164">
        <f t="shared" ref="E307:E317" si="55">(D307/G306*100)</f>
        <v>-0.29907137301441278</v>
      </c>
      <c r="F307" s="155">
        <f t="shared" ref="F307:F317" si="56">(G307-G306-D307)</f>
        <v>670.62899999998808</v>
      </c>
      <c r="G307" s="155">
        <v>115632.03599999999</v>
      </c>
      <c r="H307" s="8"/>
      <c r="I307" s="1" t="s">
        <v>118</v>
      </c>
      <c r="J307" s="1" t="s">
        <v>119</v>
      </c>
      <c r="K307" s="1" t="s">
        <v>113</v>
      </c>
      <c r="M307" s="8"/>
    </row>
    <row r="308" spans="1:13" outlineLevel="1" x14ac:dyDescent="0.2">
      <c r="A308" s="170">
        <v>38047</v>
      </c>
      <c r="B308" s="154">
        <v>48392.857000000004</v>
      </c>
      <c r="C308" s="154">
        <v>49622.455000000002</v>
      </c>
      <c r="D308" s="155">
        <v>-1229.598</v>
      </c>
      <c r="E308" s="164">
        <f t="shared" si="55"/>
        <v>-1.0633713999466377</v>
      </c>
      <c r="F308" s="155">
        <f t="shared" si="56"/>
        <v>613.30200000001241</v>
      </c>
      <c r="G308" s="155">
        <v>115015.74</v>
      </c>
      <c r="H308" s="8"/>
      <c r="I308" s="1" t="s">
        <v>118</v>
      </c>
      <c r="J308" s="1" t="s">
        <v>119</v>
      </c>
      <c r="K308" s="1" t="s">
        <v>113</v>
      </c>
      <c r="M308" s="8"/>
    </row>
    <row r="309" spans="1:13" outlineLevel="1" x14ac:dyDescent="0.2">
      <c r="A309" s="170">
        <v>38078</v>
      </c>
      <c r="B309" s="154">
        <v>45356.252999999997</v>
      </c>
      <c r="C309" s="154">
        <v>45839.267999999996</v>
      </c>
      <c r="D309" s="155">
        <v>-483.01499999999999</v>
      </c>
      <c r="E309" s="164">
        <f t="shared" si="55"/>
        <v>-0.4199555643427586</v>
      </c>
      <c r="F309" s="155">
        <f t="shared" si="56"/>
        <v>694.13599999999917</v>
      </c>
      <c r="G309" s="155">
        <v>115226.861</v>
      </c>
      <c r="H309" s="8"/>
      <c r="I309" s="1" t="s">
        <v>118</v>
      </c>
      <c r="J309" s="1" t="s">
        <v>119</v>
      </c>
      <c r="K309" s="1" t="s">
        <v>113</v>
      </c>
      <c r="M309" s="8"/>
    </row>
    <row r="310" spans="1:13" outlineLevel="1" x14ac:dyDescent="0.2">
      <c r="A310" s="170">
        <v>38108</v>
      </c>
      <c r="B310" s="154">
        <v>49815.184000000001</v>
      </c>
      <c r="C310" s="154">
        <v>48490.148999999998</v>
      </c>
      <c r="D310" s="155">
        <v>1325.0350000000001</v>
      </c>
      <c r="E310" s="164">
        <f t="shared" si="55"/>
        <v>1.149935864346769</v>
      </c>
      <c r="F310" s="155">
        <f t="shared" si="56"/>
        <v>656.74799999999573</v>
      </c>
      <c r="G310" s="155">
        <v>117208.644</v>
      </c>
      <c r="H310" s="8"/>
      <c r="I310" s="1" t="s">
        <v>118</v>
      </c>
      <c r="J310" s="1" t="s">
        <v>119</v>
      </c>
      <c r="K310" s="1" t="s">
        <v>113</v>
      </c>
      <c r="M310" s="8"/>
    </row>
    <row r="311" spans="1:13" outlineLevel="1" x14ac:dyDescent="0.2">
      <c r="A311" s="170">
        <v>38139</v>
      </c>
      <c r="B311" s="154">
        <v>48824.389000000003</v>
      </c>
      <c r="C311" s="154">
        <v>48179.278000000006</v>
      </c>
      <c r="D311" s="155">
        <v>645.11099999999999</v>
      </c>
      <c r="E311" s="164">
        <f t="shared" si="55"/>
        <v>0.55039541281614013</v>
      </c>
      <c r="F311" s="155">
        <f t="shared" si="56"/>
        <v>739.43100000000129</v>
      </c>
      <c r="G311" s="155">
        <v>118593.186</v>
      </c>
      <c r="H311" s="8"/>
      <c r="I311" s="1" t="s">
        <v>118</v>
      </c>
      <c r="J311" s="1" t="s">
        <v>119</v>
      </c>
      <c r="K311" s="1" t="s">
        <v>113</v>
      </c>
      <c r="M311" s="8"/>
    </row>
    <row r="312" spans="1:13" outlineLevel="1" x14ac:dyDescent="0.2">
      <c r="A312" s="170">
        <v>38169</v>
      </c>
      <c r="B312" s="154">
        <v>50444.976000000002</v>
      </c>
      <c r="C312" s="154">
        <v>49580.401000000005</v>
      </c>
      <c r="D312" s="155">
        <v>864.57500000000005</v>
      </c>
      <c r="E312" s="164">
        <f t="shared" si="55"/>
        <v>0.72902586494303312</v>
      </c>
      <c r="F312" s="155">
        <f t="shared" si="56"/>
        <v>753.18199999999774</v>
      </c>
      <c r="G312" s="155">
        <v>120210.943</v>
      </c>
      <c r="H312" s="8"/>
      <c r="I312" s="1" t="s">
        <v>118</v>
      </c>
      <c r="J312" s="1" t="s">
        <v>119</v>
      </c>
      <c r="K312" s="1" t="s">
        <v>113</v>
      </c>
      <c r="M312" s="8"/>
    </row>
    <row r="313" spans="1:13" outlineLevel="1" x14ac:dyDescent="0.2">
      <c r="A313" s="170">
        <v>38200</v>
      </c>
      <c r="B313" s="154">
        <v>50260.955999999998</v>
      </c>
      <c r="C313" s="154">
        <v>50507.296999999999</v>
      </c>
      <c r="D313" s="155">
        <v>-246.34100000000001</v>
      </c>
      <c r="E313" s="164">
        <f t="shared" si="55"/>
        <v>-0.20492393941207165</v>
      </c>
      <c r="F313" s="155">
        <f t="shared" si="56"/>
        <v>764.02400000000455</v>
      </c>
      <c r="G313" s="155">
        <v>120728.626</v>
      </c>
      <c r="H313" s="8"/>
      <c r="I313" s="1" t="s">
        <v>118</v>
      </c>
      <c r="J313" s="1" t="s">
        <v>119</v>
      </c>
      <c r="K313" s="1" t="s">
        <v>113</v>
      </c>
      <c r="M313" s="8"/>
    </row>
    <row r="314" spans="1:13" outlineLevel="1" x14ac:dyDescent="0.2">
      <c r="A314" s="170">
        <v>38231</v>
      </c>
      <c r="B314" s="154">
        <v>46889.705000000002</v>
      </c>
      <c r="C314" s="154">
        <v>47219.556000000004</v>
      </c>
      <c r="D314" s="155">
        <v>-329.851</v>
      </c>
      <c r="E314" s="164">
        <f t="shared" si="55"/>
        <v>-0.27321689223896245</v>
      </c>
      <c r="F314" s="155">
        <f t="shared" si="56"/>
        <v>779.32399999999814</v>
      </c>
      <c r="G314" s="155">
        <v>121178.099</v>
      </c>
      <c r="H314" s="8"/>
      <c r="I314" s="1" t="s">
        <v>118</v>
      </c>
      <c r="J314" s="1" t="s">
        <v>119</v>
      </c>
      <c r="K314" s="1" t="s">
        <v>113</v>
      </c>
      <c r="M314" s="8"/>
    </row>
    <row r="315" spans="1:13" outlineLevel="1" x14ac:dyDescent="0.2">
      <c r="A315" s="170">
        <v>38261</v>
      </c>
      <c r="B315" s="154">
        <v>48996.612999999998</v>
      </c>
      <c r="C315" s="154">
        <v>49064.864999999998</v>
      </c>
      <c r="D315" s="155">
        <v>-68.251999999999995</v>
      </c>
      <c r="E315" s="164">
        <f t="shared" si="55"/>
        <v>-5.6323709121728335E-2</v>
      </c>
      <c r="F315" s="155">
        <f t="shared" si="56"/>
        <v>743.22799999999506</v>
      </c>
      <c r="G315" s="155">
        <v>121853.075</v>
      </c>
      <c r="H315" s="8"/>
      <c r="I315" s="1" t="s">
        <v>118</v>
      </c>
      <c r="J315" s="1" t="s">
        <v>119</v>
      </c>
      <c r="K315" s="1" t="s">
        <v>113</v>
      </c>
      <c r="M315" s="8"/>
    </row>
    <row r="316" spans="1:13" outlineLevel="1" x14ac:dyDescent="0.2">
      <c r="A316" s="170">
        <v>38292</v>
      </c>
      <c r="B316" s="154">
        <v>53049.735000000001</v>
      </c>
      <c r="C316" s="154">
        <v>52399.714</v>
      </c>
      <c r="D316" s="155">
        <v>650.02099999999996</v>
      </c>
      <c r="E316" s="164">
        <f t="shared" si="55"/>
        <v>0.53344652976545726</v>
      </c>
      <c r="F316" s="155">
        <f t="shared" si="56"/>
        <v>680.57400000000121</v>
      </c>
      <c r="G316" s="155">
        <v>123183.67</v>
      </c>
      <c r="H316" s="8"/>
      <c r="I316" s="1" t="s">
        <v>118</v>
      </c>
      <c r="J316" s="1" t="s">
        <v>119</v>
      </c>
      <c r="K316" s="1" t="s">
        <v>113</v>
      </c>
      <c r="M316" s="8"/>
    </row>
    <row r="317" spans="1:13" outlineLevel="1" x14ac:dyDescent="0.2">
      <c r="A317" s="170">
        <v>38322</v>
      </c>
      <c r="B317" s="154">
        <v>65781.737999999998</v>
      </c>
      <c r="C317" s="154">
        <v>62869.748</v>
      </c>
      <c r="D317" s="155">
        <v>2911.99</v>
      </c>
      <c r="E317" s="164">
        <f t="shared" si="55"/>
        <v>2.3639415841401701</v>
      </c>
      <c r="F317" s="155">
        <f t="shared" si="56"/>
        <v>757.55700000000616</v>
      </c>
      <c r="G317" s="155">
        <v>126853.217</v>
      </c>
      <c r="H317" s="8"/>
      <c r="I317" s="1" t="s">
        <v>118</v>
      </c>
      <c r="J317" s="1" t="s">
        <v>119</v>
      </c>
      <c r="K317" s="1" t="s">
        <v>113</v>
      </c>
      <c r="M317" s="8"/>
    </row>
    <row r="318" spans="1:13" x14ac:dyDescent="0.2">
      <c r="A318" s="151" t="s">
        <v>39</v>
      </c>
      <c r="B318" s="152">
        <f>SUM(B306:B317)</f>
        <v>595503.78900000011</v>
      </c>
      <c r="C318" s="152">
        <f>SUM(C306:C317)</f>
        <v>592446.49</v>
      </c>
      <c r="D318" s="152">
        <f>SUM(D306:D317)</f>
        <v>3057.299</v>
      </c>
      <c r="E318" s="163">
        <f>(D318/G305*100)</f>
        <v>2.652569403391023</v>
      </c>
      <c r="F318" s="152">
        <f>SUM(F306:F317)</f>
        <v>8537.8970000000118</v>
      </c>
      <c r="G318" s="153">
        <f>G317</f>
        <v>126853.217</v>
      </c>
      <c r="I318" s="1" t="s">
        <v>118</v>
      </c>
      <c r="J318" s="1" t="s">
        <v>119</v>
      </c>
      <c r="K318" s="1" t="s">
        <v>113</v>
      </c>
    </row>
    <row r="319" spans="1:13" ht="20.100000000000001" customHeight="1" outlineLevel="1" x14ac:dyDescent="0.2">
      <c r="A319" s="170">
        <v>38353</v>
      </c>
      <c r="B319" s="154">
        <v>50839.38</v>
      </c>
      <c r="C319" s="154">
        <v>51654.850999999995</v>
      </c>
      <c r="D319" s="155">
        <v>-815.471</v>
      </c>
      <c r="E319" s="164">
        <f>(D319/G317*100)</f>
        <v>-0.64284613294434623</v>
      </c>
      <c r="F319" s="155">
        <f>(G319-G317-D319)</f>
        <v>841.37999999999965</v>
      </c>
      <c r="G319" s="155">
        <v>126879.126</v>
      </c>
      <c r="H319" s="8"/>
      <c r="I319" s="1" t="s">
        <v>118</v>
      </c>
      <c r="J319" s="1" t="s">
        <v>119</v>
      </c>
      <c r="K319" s="1" t="s">
        <v>113</v>
      </c>
      <c r="M319" s="8"/>
    </row>
    <row r="320" spans="1:13" outlineLevel="1" x14ac:dyDescent="0.2">
      <c r="A320" s="170">
        <v>38384</v>
      </c>
      <c r="B320" s="154">
        <v>47843.430999999997</v>
      </c>
      <c r="C320" s="154">
        <v>48478.042999999998</v>
      </c>
      <c r="D320" s="155">
        <v>-634.61199999999997</v>
      </c>
      <c r="E320" s="164">
        <f t="shared" ref="E320:E330" si="57">(D320/G319*100)</f>
        <v>-0.50017053238528764</v>
      </c>
      <c r="F320" s="155">
        <f t="shared" ref="F320:F330" si="58">(G320-G319-D320)</f>
        <v>815.65400000000125</v>
      </c>
      <c r="G320" s="155">
        <v>127060.16800000001</v>
      </c>
      <c r="H320" s="8"/>
      <c r="I320" s="1" t="s">
        <v>118</v>
      </c>
      <c r="J320" s="1" t="s">
        <v>119</v>
      </c>
      <c r="K320" s="1" t="s">
        <v>113</v>
      </c>
      <c r="M320" s="8"/>
    </row>
    <row r="321" spans="1:13" outlineLevel="1" x14ac:dyDescent="0.2">
      <c r="A321" s="170">
        <v>38412</v>
      </c>
      <c r="B321" s="154">
        <v>53006.26</v>
      </c>
      <c r="C321" s="154">
        <v>54427.584999999999</v>
      </c>
      <c r="D321" s="155">
        <v>-1421.325</v>
      </c>
      <c r="E321" s="164">
        <f t="shared" si="57"/>
        <v>-1.1186235799719704</v>
      </c>
      <c r="F321" s="155">
        <f t="shared" si="58"/>
        <v>774.40399999999795</v>
      </c>
      <c r="G321" s="155">
        <v>126413.247</v>
      </c>
      <c r="H321" s="8"/>
      <c r="I321" s="1" t="s">
        <v>118</v>
      </c>
      <c r="J321" s="1" t="s">
        <v>119</v>
      </c>
      <c r="K321" s="1" t="s">
        <v>113</v>
      </c>
      <c r="M321" s="8"/>
    </row>
    <row r="322" spans="1:13" outlineLevel="1" x14ac:dyDescent="0.2">
      <c r="A322" s="170">
        <v>38443</v>
      </c>
      <c r="B322" s="154">
        <v>50197.021999999997</v>
      </c>
      <c r="C322" s="154">
        <v>50629.313999999998</v>
      </c>
      <c r="D322" s="155">
        <v>-432.29200000000128</v>
      </c>
      <c r="E322" s="164">
        <f t="shared" si="57"/>
        <v>-0.34196732562371512</v>
      </c>
      <c r="F322" s="155">
        <f t="shared" si="58"/>
        <v>867.99599999999919</v>
      </c>
      <c r="G322" s="155">
        <v>126848.951</v>
      </c>
      <c r="H322" s="8"/>
      <c r="I322" s="1" t="s">
        <v>118</v>
      </c>
      <c r="J322" s="1" t="s">
        <v>119</v>
      </c>
      <c r="K322" s="1" t="s">
        <v>113</v>
      </c>
      <c r="M322" s="8"/>
    </row>
    <row r="323" spans="1:13" outlineLevel="1" x14ac:dyDescent="0.2">
      <c r="A323" s="170">
        <v>38473</v>
      </c>
      <c r="B323" s="154">
        <v>52207.877</v>
      </c>
      <c r="C323" s="154">
        <v>53497.32</v>
      </c>
      <c r="D323" s="155">
        <v>-1289.443</v>
      </c>
      <c r="E323" s="164">
        <f t="shared" si="57"/>
        <v>-1.0165184574525965</v>
      </c>
      <c r="F323" s="155">
        <f t="shared" si="58"/>
        <v>846.75900000000615</v>
      </c>
      <c r="G323" s="155">
        <v>126406.26700000001</v>
      </c>
      <c r="H323" s="8"/>
      <c r="I323" s="1" t="s">
        <v>118</v>
      </c>
      <c r="J323" s="1" t="s">
        <v>119</v>
      </c>
      <c r="K323" s="1" t="s">
        <v>113</v>
      </c>
      <c r="M323" s="8"/>
    </row>
    <row r="324" spans="1:13" outlineLevel="1" x14ac:dyDescent="0.2">
      <c r="A324" s="170">
        <v>38504</v>
      </c>
      <c r="B324" s="154">
        <v>52953.39</v>
      </c>
      <c r="C324" s="154">
        <v>53195.618999999999</v>
      </c>
      <c r="D324" s="155">
        <v>-242.22900000000001</v>
      </c>
      <c r="E324" s="164">
        <f t="shared" si="57"/>
        <v>-0.19162736607038636</v>
      </c>
      <c r="F324" s="155">
        <f t="shared" si="58"/>
        <v>901.10199999999236</v>
      </c>
      <c r="G324" s="155">
        <v>127065.14</v>
      </c>
      <c r="H324" s="8"/>
      <c r="I324" s="1" t="s">
        <v>118</v>
      </c>
      <c r="J324" s="1" t="s">
        <v>119</v>
      </c>
      <c r="K324" s="1" t="s">
        <v>113</v>
      </c>
      <c r="M324" s="8"/>
    </row>
    <row r="325" spans="1:13" outlineLevel="1" x14ac:dyDescent="0.2">
      <c r="A325" s="170">
        <v>38534</v>
      </c>
      <c r="B325" s="154">
        <v>52564.080999999998</v>
      </c>
      <c r="C325" s="154">
        <v>52087.353999999999</v>
      </c>
      <c r="D325" s="155">
        <v>476.72699999999998</v>
      </c>
      <c r="E325" s="164">
        <f t="shared" si="57"/>
        <v>0.37518315408931197</v>
      </c>
      <c r="F325" s="155">
        <f t="shared" si="58"/>
        <v>915.79000000000713</v>
      </c>
      <c r="G325" s="155">
        <v>128457.65700000001</v>
      </c>
      <c r="H325" s="8"/>
      <c r="I325" s="1" t="s">
        <v>118</v>
      </c>
      <c r="J325" s="1" t="s">
        <v>119</v>
      </c>
      <c r="K325" s="1" t="s">
        <v>113</v>
      </c>
      <c r="M325" s="8"/>
    </row>
    <row r="326" spans="1:13" outlineLevel="1" x14ac:dyDescent="0.2">
      <c r="A326" s="170">
        <v>38565</v>
      </c>
      <c r="B326" s="154">
        <v>54839.11</v>
      </c>
      <c r="C326" s="154">
        <v>55874.955000000002</v>
      </c>
      <c r="D326" s="155">
        <v>-1035.845</v>
      </c>
      <c r="E326" s="164">
        <f t="shared" si="57"/>
        <v>-0.80637077165435134</v>
      </c>
      <c r="F326" s="155">
        <f t="shared" si="58"/>
        <v>928.01399999999444</v>
      </c>
      <c r="G326" s="155">
        <v>128349.826</v>
      </c>
      <c r="H326" s="8"/>
      <c r="I326" s="1" t="s">
        <v>118</v>
      </c>
      <c r="J326" s="1" t="s">
        <v>119</v>
      </c>
      <c r="K326" s="1" t="s">
        <v>113</v>
      </c>
      <c r="M326" s="8"/>
    </row>
    <row r="327" spans="1:13" outlineLevel="1" x14ac:dyDescent="0.2">
      <c r="A327" s="170">
        <v>38596</v>
      </c>
      <c r="B327" s="154">
        <v>52724.790999999997</v>
      </c>
      <c r="C327" s="154">
        <v>53208.204999999994</v>
      </c>
      <c r="D327" s="155">
        <v>-483.41399999999999</v>
      </c>
      <c r="E327" s="164">
        <f t="shared" si="57"/>
        <v>-0.37663783042448373</v>
      </c>
      <c r="F327" s="155">
        <f t="shared" si="58"/>
        <v>951.25299999999265</v>
      </c>
      <c r="G327" s="155">
        <v>128817.66499999999</v>
      </c>
      <c r="H327" s="8"/>
      <c r="I327" s="1" t="s">
        <v>118</v>
      </c>
      <c r="J327" s="1" t="s">
        <v>119</v>
      </c>
      <c r="K327" s="1" t="s">
        <v>113</v>
      </c>
      <c r="M327" s="8"/>
    </row>
    <row r="328" spans="1:13" outlineLevel="1" x14ac:dyDescent="0.2">
      <c r="A328" s="170">
        <v>38626</v>
      </c>
      <c r="B328" s="154">
        <v>52576.932999999997</v>
      </c>
      <c r="C328" s="154">
        <v>52841.894999999997</v>
      </c>
      <c r="D328" s="155">
        <v>-264.96199999999999</v>
      </c>
      <c r="E328" s="164">
        <f t="shared" si="57"/>
        <v>-0.20568762832333595</v>
      </c>
      <c r="F328" s="155">
        <f t="shared" si="58"/>
        <v>882.59800000001314</v>
      </c>
      <c r="G328" s="155">
        <v>129435.30100000001</v>
      </c>
      <c r="H328" s="8"/>
      <c r="I328" s="1" t="s">
        <v>118</v>
      </c>
      <c r="J328" s="1" t="s">
        <v>119</v>
      </c>
      <c r="K328" s="1" t="s">
        <v>113</v>
      </c>
      <c r="M328" s="8"/>
    </row>
    <row r="329" spans="1:13" outlineLevel="1" x14ac:dyDescent="0.2">
      <c r="A329" s="170">
        <v>38657</v>
      </c>
      <c r="B329" s="154">
        <v>55189.614000000001</v>
      </c>
      <c r="C329" s="154">
        <v>54662.107000000004</v>
      </c>
      <c r="D329" s="155">
        <v>527.50699999999995</v>
      </c>
      <c r="E329" s="164">
        <f t="shared" si="57"/>
        <v>0.40754492470334647</v>
      </c>
      <c r="F329" s="155">
        <f t="shared" si="58"/>
        <v>855.03399999999749</v>
      </c>
      <c r="G329" s="155">
        <v>130817.842</v>
      </c>
      <c r="H329" s="8"/>
      <c r="I329" s="1" t="s">
        <v>118</v>
      </c>
      <c r="J329" s="1" t="s">
        <v>119</v>
      </c>
      <c r="K329" s="1" t="s">
        <v>113</v>
      </c>
      <c r="M329" s="8"/>
    </row>
    <row r="330" spans="1:13" outlineLevel="1" x14ac:dyDescent="0.2">
      <c r="A330" s="170">
        <v>38687</v>
      </c>
      <c r="B330" s="154">
        <v>70401.774000000005</v>
      </c>
      <c r="C330" s="154">
        <v>66655.946000000011</v>
      </c>
      <c r="D330" s="155">
        <v>3745.828</v>
      </c>
      <c r="E330" s="164">
        <f t="shared" si="57"/>
        <v>2.8633922886451524</v>
      </c>
      <c r="F330" s="155">
        <f t="shared" si="58"/>
        <v>848.01100000000724</v>
      </c>
      <c r="G330" s="155">
        <v>135411.68100000001</v>
      </c>
      <c r="H330" s="8"/>
      <c r="I330" s="1" t="s">
        <v>118</v>
      </c>
      <c r="J330" s="1" t="s">
        <v>119</v>
      </c>
      <c r="K330" s="1" t="s">
        <v>113</v>
      </c>
      <c r="M330" s="8"/>
    </row>
    <row r="331" spans="1:13" x14ac:dyDescent="0.2">
      <c r="A331" s="151" t="s">
        <v>40</v>
      </c>
      <c r="B331" s="152">
        <f>SUM(B319:B330)</f>
        <v>645343.66299999994</v>
      </c>
      <c r="C331" s="152">
        <f>SUM(C319:C330)</f>
        <v>647213.19400000002</v>
      </c>
      <c r="D331" s="152">
        <f>SUM(D319:D330)</f>
        <v>-1869.5310000000022</v>
      </c>
      <c r="E331" s="163">
        <f>(D331/G318*100)</f>
        <v>-1.4737750009130648</v>
      </c>
      <c r="F331" s="152">
        <f>SUM(F319:F330)</f>
        <v>10427.99500000001</v>
      </c>
      <c r="G331" s="153">
        <f>G330</f>
        <v>135411.68100000001</v>
      </c>
      <c r="I331" s="1" t="s">
        <v>118</v>
      </c>
      <c r="J331" s="1" t="s">
        <v>119</v>
      </c>
      <c r="K331" s="1" t="s">
        <v>113</v>
      </c>
    </row>
    <row r="332" spans="1:13" ht="20.100000000000001" customHeight="1" outlineLevel="1" x14ac:dyDescent="0.2">
      <c r="A332" s="170">
        <v>38718</v>
      </c>
      <c r="B332" s="154">
        <v>56319.351999999999</v>
      </c>
      <c r="C332" s="154">
        <v>58335.820999999996</v>
      </c>
      <c r="D332" s="155">
        <v>-2016.4690000000001</v>
      </c>
      <c r="E332" s="164">
        <f>(D332/G330*100)</f>
        <v>-1.489139625997258</v>
      </c>
      <c r="F332" s="155">
        <f>(G332-G330-D332)</f>
        <v>897.97599999998329</v>
      </c>
      <c r="G332" s="155">
        <v>134293.18799999999</v>
      </c>
      <c r="H332" s="8"/>
      <c r="I332" s="1" t="s">
        <v>118</v>
      </c>
      <c r="J332" s="1" t="s">
        <v>119</v>
      </c>
      <c r="K332" s="1" t="s">
        <v>113</v>
      </c>
      <c r="M332" s="8"/>
    </row>
    <row r="333" spans="1:13" outlineLevel="1" x14ac:dyDescent="0.2">
      <c r="A333" s="170">
        <v>38749</v>
      </c>
      <c r="B333" s="154">
        <v>51015.129000000001</v>
      </c>
      <c r="C333" s="154">
        <v>50633.557000000001</v>
      </c>
      <c r="D333" s="155">
        <v>381.572</v>
      </c>
      <c r="E333" s="164">
        <f t="shared" ref="E333:E343" si="59">(D333/G332*100)</f>
        <v>0.28413354815882397</v>
      </c>
      <c r="F333" s="155">
        <f t="shared" ref="F333:F343" si="60">(G333-G332-D333)</f>
        <v>808.63499999999487</v>
      </c>
      <c r="G333" s="155">
        <v>135483.39499999999</v>
      </c>
      <c r="H333" s="8"/>
      <c r="I333" s="1" t="s">
        <v>118</v>
      </c>
      <c r="J333" s="1" t="s">
        <v>119</v>
      </c>
      <c r="K333" s="1" t="s">
        <v>113</v>
      </c>
      <c r="M333" s="8"/>
    </row>
    <row r="334" spans="1:13" outlineLevel="1" x14ac:dyDescent="0.2">
      <c r="A334" s="170">
        <v>38777</v>
      </c>
      <c r="B334" s="154">
        <v>58511.989000000001</v>
      </c>
      <c r="C334" s="154">
        <v>61901.076000000001</v>
      </c>
      <c r="D334" s="155">
        <v>-3389.087</v>
      </c>
      <c r="E334" s="164">
        <f t="shared" si="59"/>
        <v>-2.5014777641200978</v>
      </c>
      <c r="F334" s="155">
        <f t="shared" si="60"/>
        <v>798.23700000002327</v>
      </c>
      <c r="G334" s="155">
        <v>132892.54500000001</v>
      </c>
      <c r="H334" s="8"/>
      <c r="I334" s="1" t="s">
        <v>118</v>
      </c>
      <c r="J334" s="1" t="s">
        <v>119</v>
      </c>
      <c r="K334" s="1" t="s">
        <v>113</v>
      </c>
      <c r="M334" s="8"/>
    </row>
    <row r="335" spans="1:13" outlineLevel="1" x14ac:dyDescent="0.2">
      <c r="A335" s="170">
        <v>38808</v>
      </c>
      <c r="B335" s="154">
        <v>51123.837</v>
      </c>
      <c r="C335" s="154">
        <v>52399.955000000002</v>
      </c>
      <c r="D335" s="155">
        <v>-1276.1179999999999</v>
      </c>
      <c r="E335" s="164">
        <f t="shared" si="59"/>
        <v>-0.96026304560575604</v>
      </c>
      <c r="F335" s="155">
        <f t="shared" si="60"/>
        <v>808.16599999998061</v>
      </c>
      <c r="G335" s="155">
        <v>132424.59299999999</v>
      </c>
      <c r="H335" s="8"/>
      <c r="I335" s="1" t="s">
        <v>118</v>
      </c>
      <c r="J335" s="1" t="s">
        <v>119</v>
      </c>
      <c r="K335" s="1" t="s">
        <v>113</v>
      </c>
      <c r="M335" s="8"/>
    </row>
    <row r="336" spans="1:13" outlineLevel="1" x14ac:dyDescent="0.2">
      <c r="A336" s="170">
        <v>38838</v>
      </c>
      <c r="B336" s="154">
        <v>57845.203000000001</v>
      </c>
      <c r="C336" s="154">
        <v>59241.599000000002</v>
      </c>
      <c r="D336" s="155">
        <v>-1396.396</v>
      </c>
      <c r="E336" s="164">
        <f t="shared" si="59"/>
        <v>-1.054483890314845</v>
      </c>
      <c r="F336" s="155">
        <f t="shared" si="60"/>
        <v>728.87300000001346</v>
      </c>
      <c r="G336" s="155">
        <v>131757.07</v>
      </c>
      <c r="H336" s="8"/>
      <c r="I336" s="1" t="s">
        <v>118</v>
      </c>
      <c r="J336" s="1" t="s">
        <v>119</v>
      </c>
      <c r="K336" s="1" t="s">
        <v>113</v>
      </c>
      <c r="M336" s="8"/>
    </row>
    <row r="337" spans="1:13" outlineLevel="1" x14ac:dyDescent="0.2">
      <c r="A337" s="170">
        <v>38869</v>
      </c>
      <c r="B337" s="154">
        <v>55355.284</v>
      </c>
      <c r="C337" s="154">
        <v>54970.201999999997</v>
      </c>
      <c r="D337" s="155">
        <v>385.08199999999999</v>
      </c>
      <c r="E337" s="164">
        <f t="shared" si="59"/>
        <v>0.29226666925729294</v>
      </c>
      <c r="F337" s="155">
        <f t="shared" si="60"/>
        <v>858.21299999998371</v>
      </c>
      <c r="G337" s="155">
        <v>133000.36499999999</v>
      </c>
      <c r="H337" s="8"/>
      <c r="I337" s="1" t="s">
        <v>118</v>
      </c>
      <c r="J337" s="1" t="s">
        <v>119</v>
      </c>
      <c r="K337" s="1" t="s">
        <v>113</v>
      </c>
      <c r="M337" s="8"/>
    </row>
    <row r="338" spans="1:13" outlineLevel="1" x14ac:dyDescent="0.2">
      <c r="A338" s="170">
        <v>38899</v>
      </c>
      <c r="B338" s="154">
        <v>57879.892</v>
      </c>
      <c r="C338" s="154">
        <v>56695.21</v>
      </c>
      <c r="D338" s="155">
        <v>1184.682</v>
      </c>
      <c r="E338" s="164">
        <f t="shared" si="59"/>
        <v>0.89073590136387981</v>
      </c>
      <c r="F338" s="155">
        <f t="shared" si="60"/>
        <v>839.84100000001558</v>
      </c>
      <c r="G338" s="155">
        <v>135024.88800000001</v>
      </c>
      <c r="H338" s="8"/>
      <c r="I338" s="1" t="s">
        <v>118</v>
      </c>
      <c r="J338" s="1" t="s">
        <v>119</v>
      </c>
      <c r="K338" s="1" t="s">
        <v>113</v>
      </c>
      <c r="M338" s="8"/>
    </row>
    <row r="339" spans="1:13" outlineLevel="1" x14ac:dyDescent="0.2">
      <c r="A339" s="170">
        <v>38930</v>
      </c>
      <c r="B339" s="154">
        <v>63110.080000000002</v>
      </c>
      <c r="C339" s="154">
        <v>63426.976999999999</v>
      </c>
      <c r="D339" s="155">
        <v>-316.89699999999999</v>
      </c>
      <c r="E339" s="164">
        <f t="shared" si="59"/>
        <v>-0.23469525114510739</v>
      </c>
      <c r="F339" s="155">
        <f t="shared" si="60"/>
        <v>883.74099999998271</v>
      </c>
      <c r="G339" s="155">
        <v>135591.73199999999</v>
      </c>
      <c r="H339" s="8"/>
      <c r="I339" s="1" t="s">
        <v>118</v>
      </c>
      <c r="J339" s="1" t="s">
        <v>119</v>
      </c>
      <c r="K339" s="1" t="s">
        <v>113</v>
      </c>
      <c r="M339" s="8"/>
    </row>
    <row r="340" spans="1:13" outlineLevel="1" x14ac:dyDescent="0.2">
      <c r="A340" s="170">
        <v>38961</v>
      </c>
      <c r="B340" s="154">
        <v>57395.805</v>
      </c>
      <c r="C340" s="154">
        <v>55565</v>
      </c>
      <c r="D340" s="155">
        <v>1830.8050000000001</v>
      </c>
      <c r="E340" s="164">
        <f t="shared" si="59"/>
        <v>1.3502335083381045</v>
      </c>
      <c r="F340" s="155">
        <f t="shared" si="60"/>
        <v>859.50000000002206</v>
      </c>
      <c r="G340" s="155">
        <v>138282.03700000001</v>
      </c>
      <c r="H340" s="8"/>
      <c r="I340" s="1" t="s">
        <v>118</v>
      </c>
      <c r="J340" s="1" t="s">
        <v>119</v>
      </c>
      <c r="K340" s="1" t="s">
        <v>113</v>
      </c>
      <c r="M340" s="8"/>
    </row>
    <row r="341" spans="1:13" outlineLevel="1" x14ac:dyDescent="0.2">
      <c r="A341" s="170">
        <v>38991</v>
      </c>
      <c r="B341" s="154">
        <v>59724.617000000013</v>
      </c>
      <c r="C341" s="154">
        <v>58726.589000000014</v>
      </c>
      <c r="D341" s="155">
        <v>998.02800000000002</v>
      </c>
      <c r="E341" s="164">
        <f t="shared" si="59"/>
        <v>0.72173365510952081</v>
      </c>
      <c r="F341" s="155">
        <f t="shared" si="60"/>
        <v>846.72199999999998</v>
      </c>
      <c r="G341" s="155">
        <v>140126.78700000001</v>
      </c>
      <c r="H341" s="8"/>
      <c r="I341" s="1" t="s">
        <v>118</v>
      </c>
      <c r="J341" s="1" t="s">
        <v>119</v>
      </c>
      <c r="K341" s="1" t="s">
        <v>113</v>
      </c>
      <c r="M341" s="8"/>
    </row>
    <row r="342" spans="1:13" outlineLevel="1" x14ac:dyDescent="0.2">
      <c r="A342" s="170">
        <v>39022</v>
      </c>
      <c r="B342" s="154">
        <v>63830.214999999997</v>
      </c>
      <c r="C342" s="154">
        <v>61550.185999999994</v>
      </c>
      <c r="D342" s="155">
        <v>2280.029</v>
      </c>
      <c r="E342" s="164">
        <f t="shared" si="59"/>
        <v>1.6271185893957589</v>
      </c>
      <c r="F342" s="155">
        <f t="shared" si="60"/>
        <v>854.89499999999907</v>
      </c>
      <c r="G342" s="155">
        <v>143261.71100000001</v>
      </c>
      <c r="H342" s="8"/>
      <c r="I342" s="1" t="s">
        <v>118</v>
      </c>
      <c r="J342" s="1" t="s">
        <v>119</v>
      </c>
      <c r="K342" s="1" t="s">
        <v>113</v>
      </c>
      <c r="M342" s="8"/>
    </row>
    <row r="343" spans="1:13" outlineLevel="1" x14ac:dyDescent="0.2">
      <c r="A343" s="170">
        <v>39052</v>
      </c>
      <c r="B343" s="154">
        <v>81335</v>
      </c>
      <c r="C343" s="154">
        <v>75036.494999999995</v>
      </c>
      <c r="D343" s="155">
        <v>6298.5050000000001</v>
      </c>
      <c r="E343" s="164">
        <f t="shared" si="59"/>
        <v>4.3965027054577055</v>
      </c>
      <c r="F343" s="155">
        <f t="shared" si="60"/>
        <v>852.32999999999174</v>
      </c>
      <c r="G343" s="155">
        <v>150412.546</v>
      </c>
      <c r="H343" s="8"/>
      <c r="I343" s="1" t="s">
        <v>118</v>
      </c>
      <c r="J343" s="1" t="s">
        <v>119</v>
      </c>
      <c r="K343" s="1" t="s">
        <v>113</v>
      </c>
      <c r="M343" s="8"/>
    </row>
    <row r="344" spans="1:13" x14ac:dyDescent="0.2">
      <c r="A344" s="151" t="s">
        <v>41</v>
      </c>
      <c r="B344" s="152">
        <f>SUM(B332:B343)</f>
        <v>713446.40299999993</v>
      </c>
      <c r="C344" s="152">
        <f>SUM(C332:C343)</f>
        <v>708482.66700000002</v>
      </c>
      <c r="D344" s="152">
        <f>SUM(D332:D343)</f>
        <v>4963.7360000000008</v>
      </c>
      <c r="E344" s="163">
        <f>(D344/G331*100)</f>
        <v>3.6656630826405592</v>
      </c>
      <c r="F344" s="152">
        <f>SUM(F332:F343)</f>
        <v>10037.12899999999</v>
      </c>
      <c r="G344" s="153">
        <f>G343</f>
        <v>150412.546</v>
      </c>
      <c r="I344" s="1" t="s">
        <v>118</v>
      </c>
      <c r="J344" s="1" t="s">
        <v>119</v>
      </c>
      <c r="K344" s="1" t="s">
        <v>113</v>
      </c>
    </row>
    <row r="345" spans="1:13" ht="20.100000000000001" customHeight="1" outlineLevel="1" x14ac:dyDescent="0.2">
      <c r="A345" s="170">
        <v>39083</v>
      </c>
      <c r="B345" s="154">
        <v>71990.616999999998</v>
      </c>
      <c r="C345" s="154">
        <v>72594.395999999993</v>
      </c>
      <c r="D345" s="155">
        <v>-603.779</v>
      </c>
      <c r="E345" s="164">
        <f>(D345/G343*100)</f>
        <v>-0.4014153181078392</v>
      </c>
      <c r="F345" s="155">
        <f>(G345-G343-D345)</f>
        <v>872.72900000001164</v>
      </c>
      <c r="G345" s="155">
        <v>150681.49600000001</v>
      </c>
      <c r="H345" s="8"/>
      <c r="I345" s="1" t="s">
        <v>118</v>
      </c>
      <c r="J345" s="1" t="s">
        <v>119</v>
      </c>
      <c r="K345" s="1" t="s">
        <v>113</v>
      </c>
      <c r="M345" s="8"/>
    </row>
    <row r="346" spans="1:13" outlineLevel="1" x14ac:dyDescent="0.2">
      <c r="A346" s="170">
        <v>39114</v>
      </c>
      <c r="B346" s="154">
        <v>65164.237999999998</v>
      </c>
      <c r="C346" s="154">
        <v>64277.97</v>
      </c>
      <c r="D346" s="155">
        <v>886.26800000000003</v>
      </c>
      <c r="E346" s="164">
        <f t="shared" ref="E346:E356" si="61">(D346/G345*100)</f>
        <v>0.58817308264579482</v>
      </c>
      <c r="F346" s="155">
        <f t="shared" ref="F346:F356" si="62">(G346-G345-D346)</f>
        <v>970.40799999997762</v>
      </c>
      <c r="G346" s="155">
        <v>152538.17199999999</v>
      </c>
      <c r="H346" s="8"/>
      <c r="I346" s="1" t="s">
        <v>118</v>
      </c>
      <c r="J346" s="1" t="s">
        <v>119</v>
      </c>
      <c r="K346" s="1" t="s">
        <v>113</v>
      </c>
      <c r="M346" s="8"/>
    </row>
    <row r="347" spans="1:13" outlineLevel="1" x14ac:dyDescent="0.2">
      <c r="A347" s="170">
        <v>39142</v>
      </c>
      <c r="B347" s="154">
        <v>73418.024999999994</v>
      </c>
      <c r="C347" s="154">
        <v>72298.376999999993</v>
      </c>
      <c r="D347" s="155">
        <v>1119.6479999999999</v>
      </c>
      <c r="E347" s="164">
        <f t="shared" si="61"/>
        <v>0.73401168069589817</v>
      </c>
      <c r="F347" s="155">
        <f t="shared" si="62"/>
        <v>815.62600000000498</v>
      </c>
      <c r="G347" s="155">
        <v>154473.446</v>
      </c>
      <c r="H347" s="8"/>
      <c r="I347" s="1" t="s">
        <v>118</v>
      </c>
      <c r="J347" s="1" t="s">
        <v>119</v>
      </c>
      <c r="K347" s="1" t="s">
        <v>113</v>
      </c>
      <c r="M347" s="8"/>
    </row>
    <row r="348" spans="1:13" outlineLevel="1" x14ac:dyDescent="0.2">
      <c r="A348" s="170">
        <v>39173</v>
      </c>
      <c r="B348" s="154">
        <v>73330.038</v>
      </c>
      <c r="C348" s="154">
        <v>71638.581000000006</v>
      </c>
      <c r="D348" s="155">
        <v>1691.4570000000001</v>
      </c>
      <c r="E348" s="164">
        <f t="shared" si="61"/>
        <v>1.0949823699796275</v>
      </c>
      <c r="F348" s="155">
        <f t="shared" si="62"/>
        <v>927.67000000000758</v>
      </c>
      <c r="G348" s="155">
        <v>157092.573</v>
      </c>
      <c r="H348" s="8"/>
      <c r="I348" s="1" t="s">
        <v>118</v>
      </c>
      <c r="J348" s="1" t="s">
        <v>119</v>
      </c>
      <c r="K348" s="1" t="s">
        <v>113</v>
      </c>
      <c r="M348" s="8"/>
    </row>
    <row r="349" spans="1:13" outlineLevel="1" x14ac:dyDescent="0.2">
      <c r="A349" s="170">
        <v>39203</v>
      </c>
      <c r="B349" s="154">
        <v>78155.11</v>
      </c>
      <c r="C349" s="154">
        <v>77119.202999999994</v>
      </c>
      <c r="D349" s="155">
        <v>1035.9069999999999</v>
      </c>
      <c r="E349" s="164">
        <f t="shared" si="61"/>
        <v>0.65942455471780959</v>
      </c>
      <c r="F349" s="155">
        <f t="shared" si="62"/>
        <v>905.19000000000892</v>
      </c>
      <c r="G349" s="155">
        <v>159033.67000000001</v>
      </c>
      <c r="H349" s="8"/>
      <c r="I349" s="1" t="s">
        <v>118</v>
      </c>
      <c r="J349" s="1" t="s">
        <v>119</v>
      </c>
      <c r="K349" s="1" t="s">
        <v>113</v>
      </c>
      <c r="M349" s="8"/>
    </row>
    <row r="350" spans="1:13" outlineLevel="1" x14ac:dyDescent="0.2">
      <c r="A350" s="170">
        <v>39234</v>
      </c>
      <c r="B350" s="154">
        <v>74737.952000000005</v>
      </c>
      <c r="C350" s="154">
        <v>72892.932000000001</v>
      </c>
      <c r="D350" s="155">
        <v>1845.02</v>
      </c>
      <c r="E350" s="164">
        <f t="shared" si="61"/>
        <v>1.1601442637901771</v>
      </c>
      <c r="F350" s="155">
        <f t="shared" si="62"/>
        <v>935.64999999998372</v>
      </c>
      <c r="G350" s="155">
        <v>161814.34</v>
      </c>
      <c r="H350" s="8"/>
      <c r="I350" s="1" t="s">
        <v>118</v>
      </c>
      <c r="J350" s="1" t="s">
        <v>119</v>
      </c>
      <c r="K350" s="1" t="s">
        <v>113</v>
      </c>
      <c r="M350" s="8"/>
    </row>
    <row r="351" spans="1:13" outlineLevel="1" x14ac:dyDescent="0.2">
      <c r="A351" s="170">
        <v>39264</v>
      </c>
      <c r="B351" s="154">
        <v>82057.676999999996</v>
      </c>
      <c r="C351" s="154">
        <v>79362.493999999992</v>
      </c>
      <c r="D351" s="155">
        <v>2695.183</v>
      </c>
      <c r="E351" s="164">
        <f t="shared" si="61"/>
        <v>1.6656020721031277</v>
      </c>
      <c r="F351" s="155">
        <f t="shared" si="62"/>
        <v>911.13100000001305</v>
      </c>
      <c r="G351" s="155">
        <v>165420.65400000001</v>
      </c>
      <c r="H351" s="8"/>
      <c r="I351" s="1" t="s">
        <v>118</v>
      </c>
      <c r="J351" s="1" t="s">
        <v>119</v>
      </c>
      <c r="K351" s="1" t="s">
        <v>113</v>
      </c>
      <c r="M351" s="8"/>
    </row>
    <row r="352" spans="1:13" outlineLevel="1" x14ac:dyDescent="0.2">
      <c r="A352" s="170">
        <v>39295</v>
      </c>
      <c r="B352" s="154">
        <v>85440.428</v>
      </c>
      <c r="C352" s="154">
        <v>83062.62</v>
      </c>
      <c r="D352" s="155">
        <v>2377.808</v>
      </c>
      <c r="E352" s="164">
        <f t="shared" si="61"/>
        <v>1.4374311444809063</v>
      </c>
      <c r="F352" s="155">
        <f t="shared" si="62"/>
        <v>946.48499999997603</v>
      </c>
      <c r="G352" s="155">
        <v>168744.94699999999</v>
      </c>
      <c r="H352" s="8"/>
      <c r="I352" s="1" t="s">
        <v>118</v>
      </c>
      <c r="J352" s="1" t="s">
        <v>119</v>
      </c>
      <c r="K352" s="1" t="s">
        <v>113</v>
      </c>
      <c r="M352" s="8"/>
    </row>
    <row r="353" spans="1:13" outlineLevel="1" x14ac:dyDescent="0.2">
      <c r="A353" s="170">
        <v>39326</v>
      </c>
      <c r="B353" s="154">
        <v>76052.525999999998</v>
      </c>
      <c r="C353" s="154">
        <v>72620.690999999992</v>
      </c>
      <c r="D353" s="155">
        <v>3431.835</v>
      </c>
      <c r="E353" s="164">
        <f t="shared" si="61"/>
        <v>2.0337408977348521</v>
      </c>
      <c r="F353" s="155">
        <f t="shared" si="62"/>
        <v>925.34200000002511</v>
      </c>
      <c r="G353" s="155">
        <v>173102.12400000001</v>
      </c>
      <c r="H353" s="8"/>
      <c r="I353" s="1" t="s">
        <v>118</v>
      </c>
      <c r="J353" s="1" t="s">
        <v>119</v>
      </c>
      <c r="K353" s="1" t="s">
        <v>113</v>
      </c>
      <c r="M353" s="8"/>
    </row>
    <row r="354" spans="1:13" outlineLevel="1" x14ac:dyDescent="0.2">
      <c r="A354" s="170">
        <v>39356</v>
      </c>
      <c r="B354" s="154">
        <v>85126.934999999998</v>
      </c>
      <c r="C354" s="154">
        <v>83651.600000000006</v>
      </c>
      <c r="D354" s="155">
        <v>1475.335</v>
      </c>
      <c r="E354" s="164">
        <f t="shared" si="61"/>
        <v>0.85229167956367768</v>
      </c>
      <c r="F354" s="155">
        <f t="shared" si="62"/>
        <v>902.8879999999981</v>
      </c>
      <c r="G354" s="155">
        <v>175480.34700000001</v>
      </c>
      <c r="H354" s="8"/>
      <c r="I354" s="1" t="s">
        <v>118</v>
      </c>
      <c r="J354" s="1" t="s">
        <v>119</v>
      </c>
      <c r="K354" s="1" t="s">
        <v>113</v>
      </c>
      <c r="M354" s="8"/>
    </row>
    <row r="355" spans="1:13" outlineLevel="1" x14ac:dyDescent="0.2">
      <c r="A355" s="170">
        <v>39387</v>
      </c>
      <c r="B355" s="154">
        <v>82816.528999999995</v>
      </c>
      <c r="C355" s="154">
        <v>80411.943999999989</v>
      </c>
      <c r="D355" s="155">
        <v>2404.585</v>
      </c>
      <c r="E355" s="164">
        <f t="shared" si="61"/>
        <v>1.3702873518935998</v>
      </c>
      <c r="F355" s="155">
        <f t="shared" si="62"/>
        <v>893.69099999998343</v>
      </c>
      <c r="G355" s="155">
        <v>178778.62299999999</v>
      </c>
      <c r="H355" s="8"/>
      <c r="I355" s="1" t="s">
        <v>118</v>
      </c>
      <c r="J355" s="1" t="s">
        <v>119</v>
      </c>
      <c r="K355" s="1" t="s">
        <v>113</v>
      </c>
      <c r="M355" s="8"/>
    </row>
    <row r="356" spans="1:13" outlineLevel="1" x14ac:dyDescent="0.2">
      <c r="A356" s="170">
        <v>39417</v>
      </c>
      <c r="B356" s="154">
        <v>100226.96400000001</v>
      </c>
      <c r="C356" s="154">
        <v>92092.631000000008</v>
      </c>
      <c r="D356" s="155">
        <v>8134.3329999999996</v>
      </c>
      <c r="E356" s="164">
        <f t="shared" si="61"/>
        <v>4.5499472271916979</v>
      </c>
      <c r="F356" s="155">
        <f t="shared" si="62"/>
        <v>914.30800000000363</v>
      </c>
      <c r="G356" s="155">
        <v>187827.264</v>
      </c>
      <c r="H356" s="8"/>
      <c r="I356" s="1" t="s">
        <v>118</v>
      </c>
      <c r="J356" s="1" t="s">
        <v>119</v>
      </c>
      <c r="K356" s="1" t="s">
        <v>113</v>
      </c>
      <c r="M356" s="8"/>
    </row>
    <row r="357" spans="1:13" x14ac:dyDescent="0.2">
      <c r="A357" s="151" t="s">
        <v>16</v>
      </c>
      <c r="B357" s="152">
        <f>SUM(B345:B356)</f>
        <v>948517.03899999987</v>
      </c>
      <c r="C357" s="152">
        <f>SUM(C345:C356)</f>
        <v>922023.4389999999</v>
      </c>
      <c r="D357" s="152">
        <f>SUM(D345:D356)</f>
        <v>26493.599999999999</v>
      </c>
      <c r="E357" s="163">
        <f>(D357/G344*100)</f>
        <v>17.613956218785098</v>
      </c>
      <c r="F357" s="152">
        <f>SUM(F345:F356)</f>
        <v>10921.117999999995</v>
      </c>
      <c r="G357" s="153">
        <f>G356</f>
        <v>187827.264</v>
      </c>
      <c r="I357" s="1" t="s">
        <v>118</v>
      </c>
      <c r="J357" s="1" t="s">
        <v>119</v>
      </c>
      <c r="K357" s="1" t="s">
        <v>113</v>
      </c>
    </row>
    <row r="358" spans="1:13" ht="20.100000000000001" customHeight="1" outlineLevel="1" x14ac:dyDescent="0.2">
      <c r="A358" s="170">
        <v>39448</v>
      </c>
      <c r="B358" s="154">
        <v>93799.671000000002</v>
      </c>
      <c r="C358" s="154">
        <v>93773.854999999996</v>
      </c>
      <c r="D358" s="155">
        <v>25.815999999999999</v>
      </c>
      <c r="E358" s="164">
        <f>(D358/G356*100)</f>
        <v>1.3744543497157046E-2</v>
      </c>
      <c r="F358" s="155">
        <f>(G358-G356-D358)</f>
        <v>952.72900000001277</v>
      </c>
      <c r="G358" s="155">
        <v>188805.80900000001</v>
      </c>
      <c r="H358" s="8"/>
      <c r="I358" s="1" t="s">
        <v>118</v>
      </c>
      <c r="J358" s="1" t="s">
        <v>119</v>
      </c>
      <c r="K358" s="1" t="s">
        <v>113</v>
      </c>
      <c r="M358" s="8"/>
    </row>
    <row r="359" spans="1:13" outlineLevel="1" x14ac:dyDescent="0.2">
      <c r="A359" s="170">
        <v>39479</v>
      </c>
      <c r="B359" s="154">
        <v>84517.081000000006</v>
      </c>
      <c r="C359" s="154">
        <v>83395.476999999999</v>
      </c>
      <c r="D359" s="155">
        <v>1121.604</v>
      </c>
      <c r="E359" s="164">
        <f t="shared" ref="E359:E369" si="63">(D359/G358*100)</f>
        <v>0.59405163746842127</v>
      </c>
      <c r="F359" s="155">
        <f t="shared" ref="F359:F369" si="64">(G359-G358-D359)</f>
        <v>963.67599999999879</v>
      </c>
      <c r="G359" s="155">
        <v>190891.08900000001</v>
      </c>
      <c r="H359" s="8"/>
      <c r="I359" s="1" t="s">
        <v>118</v>
      </c>
      <c r="J359" s="1" t="s">
        <v>119</v>
      </c>
      <c r="K359" s="1" t="s">
        <v>113</v>
      </c>
      <c r="M359" s="8"/>
    </row>
    <row r="360" spans="1:13" outlineLevel="1" x14ac:dyDescent="0.2">
      <c r="A360" s="170">
        <v>39508</v>
      </c>
      <c r="B360" s="154">
        <v>90046.629000000001</v>
      </c>
      <c r="C360" s="154">
        <v>89062.891000000003</v>
      </c>
      <c r="D360" s="155">
        <v>983.73800000000006</v>
      </c>
      <c r="E360" s="164">
        <f t="shared" si="63"/>
        <v>0.51533992767991388</v>
      </c>
      <c r="F360" s="155">
        <f t="shared" si="64"/>
        <v>960.56600000000367</v>
      </c>
      <c r="G360" s="155">
        <v>192835.39300000001</v>
      </c>
      <c r="H360" s="8"/>
      <c r="I360" s="1" t="s">
        <v>118</v>
      </c>
      <c r="J360" s="1" t="s">
        <v>119</v>
      </c>
      <c r="K360" s="1" t="s">
        <v>113</v>
      </c>
      <c r="M360" s="8"/>
    </row>
    <row r="361" spans="1:13" outlineLevel="1" x14ac:dyDescent="0.2">
      <c r="A361" s="170">
        <v>39539</v>
      </c>
      <c r="B361" s="154">
        <v>95837.111999999994</v>
      </c>
      <c r="C361" s="154">
        <v>97850.382999999987</v>
      </c>
      <c r="D361" s="155">
        <v>-2013.271</v>
      </c>
      <c r="E361" s="164">
        <f t="shared" si="63"/>
        <v>-1.0440360395874009</v>
      </c>
      <c r="F361" s="155">
        <f t="shared" si="64"/>
        <v>1016.7300000000025</v>
      </c>
      <c r="G361" s="155">
        <v>191838.85200000001</v>
      </c>
      <c r="H361" s="8"/>
      <c r="I361" s="1" t="s">
        <v>118</v>
      </c>
      <c r="J361" s="1" t="s">
        <v>119</v>
      </c>
      <c r="K361" s="1" t="s">
        <v>113</v>
      </c>
      <c r="M361" s="8"/>
    </row>
    <row r="362" spans="1:13" outlineLevel="1" x14ac:dyDescent="0.2">
      <c r="A362" s="170">
        <v>39569</v>
      </c>
      <c r="B362" s="154">
        <v>88911.63</v>
      </c>
      <c r="C362" s="154">
        <v>87753.324000000008</v>
      </c>
      <c r="D362" s="155">
        <v>1158.306</v>
      </c>
      <c r="E362" s="164">
        <f t="shared" si="63"/>
        <v>0.60379114445493032</v>
      </c>
      <c r="F362" s="155">
        <f t="shared" si="64"/>
        <v>987.99799999997458</v>
      </c>
      <c r="G362" s="155">
        <v>193985.15599999999</v>
      </c>
      <c r="H362" s="8"/>
      <c r="I362" s="1" t="s">
        <v>118</v>
      </c>
      <c r="J362" s="1" t="s">
        <v>119</v>
      </c>
      <c r="K362" s="1" t="s">
        <v>113</v>
      </c>
      <c r="M362" s="8"/>
    </row>
    <row r="363" spans="1:13" outlineLevel="1" x14ac:dyDescent="0.2">
      <c r="A363" s="170">
        <v>39600</v>
      </c>
      <c r="B363" s="154">
        <v>91867.442999999999</v>
      </c>
      <c r="C363" s="154">
        <v>90528.959000000003</v>
      </c>
      <c r="D363" s="155">
        <v>1338.4839999999999</v>
      </c>
      <c r="E363" s="164">
        <f t="shared" si="63"/>
        <v>0.68999300132016284</v>
      </c>
      <c r="F363" s="155">
        <f t="shared" si="64"/>
        <v>1097.726000000021</v>
      </c>
      <c r="G363" s="155">
        <v>196421.36600000001</v>
      </c>
      <c r="H363" s="8"/>
      <c r="I363" s="1" t="s">
        <v>118</v>
      </c>
      <c r="J363" s="1" t="s">
        <v>119</v>
      </c>
      <c r="K363" s="1" t="s">
        <v>113</v>
      </c>
      <c r="M363" s="8"/>
    </row>
    <row r="364" spans="1:13" outlineLevel="1" x14ac:dyDescent="0.2">
      <c r="A364" s="170">
        <v>39630</v>
      </c>
      <c r="B364" s="154">
        <v>92089.070999999996</v>
      </c>
      <c r="C364" s="154">
        <v>90463.641000000003</v>
      </c>
      <c r="D364" s="155">
        <v>1625.43</v>
      </c>
      <c r="E364" s="164">
        <f t="shared" si="63"/>
        <v>0.82752199167579354</v>
      </c>
      <c r="F364" s="155">
        <f t="shared" si="64"/>
        <v>1156.8189999999815</v>
      </c>
      <c r="G364" s="155">
        <v>199203.61499999999</v>
      </c>
      <c r="H364" s="8"/>
      <c r="I364" s="1" t="s">
        <v>118</v>
      </c>
      <c r="J364" s="1" t="s">
        <v>119</v>
      </c>
      <c r="K364" s="1" t="s">
        <v>113</v>
      </c>
      <c r="M364" s="8"/>
    </row>
    <row r="365" spans="1:13" outlineLevel="1" x14ac:dyDescent="0.2">
      <c r="A365" s="170">
        <v>39661</v>
      </c>
      <c r="B365" s="154">
        <v>82192.100999999995</v>
      </c>
      <c r="C365" s="154">
        <v>80445.870999999999</v>
      </c>
      <c r="D365" s="155">
        <v>1746.23</v>
      </c>
      <c r="E365" s="164">
        <f t="shared" si="63"/>
        <v>0.87660557766484315</v>
      </c>
      <c r="F365" s="155">
        <f t="shared" si="64"/>
        <v>1252.3880000000167</v>
      </c>
      <c r="G365" s="155">
        <v>202202.23300000001</v>
      </c>
      <c r="H365" s="8"/>
      <c r="I365" s="1" t="s">
        <v>118</v>
      </c>
      <c r="J365" s="1" t="s">
        <v>119</v>
      </c>
      <c r="K365" s="1" t="s">
        <v>113</v>
      </c>
      <c r="M365" s="8"/>
    </row>
    <row r="366" spans="1:13" outlineLevel="1" x14ac:dyDescent="0.2">
      <c r="A366" s="170">
        <v>39692</v>
      </c>
      <c r="B366" s="154">
        <v>86615.925000000003</v>
      </c>
      <c r="C366" s="154">
        <v>84833.775000000009</v>
      </c>
      <c r="D366" s="155">
        <v>1782.15</v>
      </c>
      <c r="E366" s="164">
        <f t="shared" si="63"/>
        <v>0.881370088529141</v>
      </c>
      <c r="F366" s="155">
        <f t="shared" si="64"/>
        <v>1315.271000000002</v>
      </c>
      <c r="G366" s="155">
        <v>205299.65400000001</v>
      </c>
      <c r="H366" s="8"/>
      <c r="I366" s="1" t="s">
        <v>118</v>
      </c>
      <c r="J366" s="1" t="s">
        <v>119</v>
      </c>
      <c r="K366" s="1" t="s">
        <v>113</v>
      </c>
      <c r="M366" s="8"/>
    </row>
    <row r="367" spans="1:13" outlineLevel="1" x14ac:dyDescent="0.2">
      <c r="A367" s="170">
        <v>39722</v>
      </c>
      <c r="B367" s="154">
        <v>78777.501000000004</v>
      </c>
      <c r="C367" s="154">
        <v>79173.11</v>
      </c>
      <c r="D367" s="155">
        <v>-395.60899999999998</v>
      </c>
      <c r="E367" s="164">
        <f t="shared" si="63"/>
        <v>-0.19269832768446848</v>
      </c>
      <c r="F367" s="155">
        <f t="shared" si="64"/>
        <v>1297.3109999999901</v>
      </c>
      <c r="G367" s="155">
        <v>206201.356</v>
      </c>
      <c r="H367" s="8"/>
      <c r="I367" s="1" t="s">
        <v>118</v>
      </c>
      <c r="J367" s="1" t="s">
        <v>119</v>
      </c>
      <c r="K367" s="1" t="s">
        <v>113</v>
      </c>
      <c r="M367" s="8"/>
    </row>
    <row r="368" spans="1:13" outlineLevel="1" x14ac:dyDescent="0.2">
      <c r="A368" s="170">
        <v>39753</v>
      </c>
      <c r="B368" s="154">
        <v>72872.639999999999</v>
      </c>
      <c r="C368" s="154">
        <v>70690.17</v>
      </c>
      <c r="D368" s="155">
        <v>2182.4699999999998</v>
      </c>
      <c r="E368" s="164">
        <f t="shared" si="63"/>
        <v>1.0584169000324128</v>
      </c>
      <c r="F368" s="155">
        <f t="shared" si="64"/>
        <v>1351.9890000000028</v>
      </c>
      <c r="G368" s="155">
        <v>209735.815</v>
      </c>
      <c r="H368" s="8"/>
      <c r="I368" s="1" t="s">
        <v>118</v>
      </c>
      <c r="J368" s="1" t="s">
        <v>119</v>
      </c>
      <c r="K368" s="1" t="s">
        <v>113</v>
      </c>
      <c r="M368" s="8"/>
    </row>
    <row r="369" spans="1:13" outlineLevel="1" x14ac:dyDescent="0.2">
      <c r="A369" s="170">
        <v>39783</v>
      </c>
      <c r="B369" s="154">
        <v>90037.27</v>
      </c>
      <c r="C369" s="154">
        <v>85691.90800000001</v>
      </c>
      <c r="D369" s="155">
        <v>4345.3620000000001</v>
      </c>
      <c r="E369" s="164">
        <f t="shared" si="63"/>
        <v>2.0718264069491421</v>
      </c>
      <c r="F369" s="155">
        <f t="shared" si="64"/>
        <v>1319.1050000000041</v>
      </c>
      <c r="G369" s="155">
        <v>215400.28200000001</v>
      </c>
      <c r="H369" s="8"/>
      <c r="I369" s="1" t="s">
        <v>118</v>
      </c>
      <c r="J369" s="1" t="s">
        <v>119</v>
      </c>
      <c r="K369" s="1" t="s">
        <v>113</v>
      </c>
      <c r="M369" s="8"/>
    </row>
    <row r="370" spans="1:13" x14ac:dyDescent="0.2">
      <c r="A370" s="151" t="s">
        <v>15</v>
      </c>
      <c r="B370" s="152">
        <f>SUM(B358:B369)</f>
        <v>1047564.0740000001</v>
      </c>
      <c r="C370" s="152">
        <f>SUM(C358:C369)</f>
        <v>1033663.3640000002</v>
      </c>
      <c r="D370" s="152">
        <f>SUM(D358:D369)</f>
        <v>13900.71</v>
      </c>
      <c r="E370" s="163">
        <f>(D370/G357*100)</f>
        <v>7.4007945939094339</v>
      </c>
      <c r="F370" s="152">
        <f>SUM(F358:F369)</f>
        <v>13672.308000000012</v>
      </c>
      <c r="G370" s="153">
        <f>G369</f>
        <v>215400.28200000001</v>
      </c>
      <c r="I370" s="1" t="s">
        <v>118</v>
      </c>
      <c r="J370" s="1" t="s">
        <v>119</v>
      </c>
      <c r="K370" s="1" t="s">
        <v>113</v>
      </c>
    </row>
    <row r="371" spans="1:13" outlineLevel="1" x14ac:dyDescent="0.2">
      <c r="A371" s="170">
        <v>39814</v>
      </c>
      <c r="B371" s="154">
        <v>67070.463999999993</v>
      </c>
      <c r="C371" s="154">
        <v>67968.884999999995</v>
      </c>
      <c r="D371" s="155">
        <v>-898.42100000000005</v>
      </c>
      <c r="E371" s="164">
        <v>-0.41709369721252265</v>
      </c>
      <c r="F371" s="155">
        <f>(G371-G369-D371)</f>
        <v>1316.0179999999798</v>
      </c>
      <c r="G371" s="155">
        <v>215817.87899999999</v>
      </c>
      <c r="H371" s="8"/>
      <c r="I371" s="1" t="s">
        <v>118</v>
      </c>
      <c r="J371" s="1" t="s">
        <v>119</v>
      </c>
      <c r="K371" s="1" t="s">
        <v>113</v>
      </c>
      <c r="M371" s="8"/>
    </row>
    <row r="372" spans="1:13" outlineLevel="1" x14ac:dyDescent="0.2">
      <c r="A372" s="170">
        <v>39845</v>
      </c>
      <c r="B372" s="154">
        <v>70288.935000000012</v>
      </c>
      <c r="C372" s="154">
        <v>69379.647000000012</v>
      </c>
      <c r="D372" s="155">
        <v>909.28800000000001</v>
      </c>
      <c r="E372" s="164">
        <v>0.42132190540154463</v>
      </c>
      <c r="F372" s="155">
        <f t="shared" ref="F372:F381" si="65">(G372-G371-D372)</f>
        <v>1310.5489999999995</v>
      </c>
      <c r="G372" s="155">
        <v>218037.71599999999</v>
      </c>
      <c r="H372" s="8"/>
      <c r="I372" s="1" t="s">
        <v>118</v>
      </c>
      <c r="J372" s="1" t="s">
        <v>119</v>
      </c>
      <c r="K372" s="1" t="s">
        <v>113</v>
      </c>
      <c r="M372" s="8"/>
    </row>
    <row r="373" spans="1:13" outlineLevel="1" x14ac:dyDescent="0.2">
      <c r="A373" s="170">
        <v>39873</v>
      </c>
      <c r="B373" s="154">
        <v>71397.091000000015</v>
      </c>
      <c r="C373" s="154">
        <v>72283.750000000015</v>
      </c>
      <c r="D373" s="155">
        <v>-886.65899999999999</v>
      </c>
      <c r="E373" s="164">
        <v>-0.40665395706126373</v>
      </c>
      <c r="F373" s="155">
        <f t="shared" si="65"/>
        <v>1185.7840000000001</v>
      </c>
      <c r="G373" s="155">
        <v>218336.84099999999</v>
      </c>
      <c r="H373" s="8"/>
      <c r="I373" s="1" t="s">
        <v>118</v>
      </c>
      <c r="J373" s="1" t="s">
        <v>119</v>
      </c>
      <c r="K373" s="1" t="s">
        <v>113</v>
      </c>
      <c r="M373" s="8"/>
    </row>
    <row r="374" spans="1:13" outlineLevel="1" x14ac:dyDescent="0.2">
      <c r="A374" s="170">
        <v>39904</v>
      </c>
      <c r="B374" s="154">
        <v>80004.606999999989</v>
      </c>
      <c r="C374" s="154">
        <v>80525.318999999989</v>
      </c>
      <c r="D374" s="155">
        <v>-520.71199999999999</v>
      </c>
      <c r="E374" s="164">
        <v>-0.23849021430148842</v>
      </c>
      <c r="F374" s="155">
        <f t="shared" si="65"/>
        <v>1240.2590000000205</v>
      </c>
      <c r="G374" s="155">
        <v>219056.38800000001</v>
      </c>
      <c r="H374" s="8"/>
      <c r="I374" s="1" t="s">
        <v>118</v>
      </c>
      <c r="J374" s="1" t="s">
        <v>119</v>
      </c>
      <c r="K374" s="1" t="s">
        <v>113</v>
      </c>
      <c r="M374" s="8"/>
    </row>
    <row r="375" spans="1:13" outlineLevel="1" x14ac:dyDescent="0.2">
      <c r="A375" s="170">
        <v>39934</v>
      </c>
      <c r="B375" s="154">
        <v>68000.274999999994</v>
      </c>
      <c r="C375" s="154">
        <v>66624.618000000002</v>
      </c>
      <c r="D375" s="155">
        <v>1375.6569999999999</v>
      </c>
      <c r="E375" s="164">
        <v>0.62799218619454278</v>
      </c>
      <c r="F375" s="155">
        <f t="shared" si="65"/>
        <v>1083.9950000000019</v>
      </c>
      <c r="G375" s="155">
        <v>221516.04</v>
      </c>
      <c r="H375" s="8"/>
      <c r="I375" s="1" t="s">
        <v>118</v>
      </c>
      <c r="J375" s="1" t="s">
        <v>119</v>
      </c>
      <c r="K375" s="1" t="s">
        <v>113</v>
      </c>
      <c r="M375" s="8"/>
    </row>
    <row r="376" spans="1:13" outlineLevel="1" x14ac:dyDescent="0.2">
      <c r="A376" s="170">
        <v>39965</v>
      </c>
      <c r="B376" s="154">
        <v>71712.103000000003</v>
      </c>
      <c r="C376" s="154">
        <v>69921.294999999998</v>
      </c>
      <c r="D376" s="155">
        <v>1790.808</v>
      </c>
      <c r="E376" s="164">
        <v>0.80843265345480164</v>
      </c>
      <c r="F376" s="155">
        <f t="shared" si="65"/>
        <v>1210.7009999999909</v>
      </c>
      <c r="G376" s="155">
        <v>224517.549</v>
      </c>
      <c r="H376" s="8"/>
      <c r="I376" s="1" t="s">
        <v>118</v>
      </c>
      <c r="J376" s="1" t="s">
        <v>119</v>
      </c>
      <c r="K376" s="1" t="s">
        <v>113</v>
      </c>
      <c r="M376" s="8"/>
    </row>
    <row r="377" spans="1:13" outlineLevel="1" x14ac:dyDescent="0.2">
      <c r="A377" s="170">
        <v>39995</v>
      </c>
      <c r="B377" s="154">
        <v>77476.566999999995</v>
      </c>
      <c r="C377" s="154">
        <v>72378.263999999996</v>
      </c>
      <c r="D377" s="155">
        <v>5098.3029999999999</v>
      </c>
      <c r="E377" s="164">
        <v>2.2707815147224859</v>
      </c>
      <c r="F377" s="155">
        <f t="shared" si="65"/>
        <v>1164.846000000005</v>
      </c>
      <c r="G377" s="155">
        <v>230780.698</v>
      </c>
      <c r="H377" s="8"/>
      <c r="I377" s="1" t="s">
        <v>118</v>
      </c>
      <c r="J377" s="1" t="s">
        <v>119</v>
      </c>
      <c r="K377" s="1" t="s">
        <v>113</v>
      </c>
      <c r="M377" s="8"/>
    </row>
    <row r="378" spans="1:13" outlineLevel="1" x14ac:dyDescent="0.2">
      <c r="A378" s="170">
        <v>40026</v>
      </c>
      <c r="B378" s="154">
        <v>71440.225999999995</v>
      </c>
      <c r="C378" s="154">
        <v>69923.816999999995</v>
      </c>
      <c r="D378" s="155">
        <v>1516.4090000000001</v>
      </c>
      <c r="E378" s="164">
        <v>0.65707791558893724</v>
      </c>
      <c r="F378" s="155">
        <f t="shared" si="65"/>
        <v>1194.752999999982</v>
      </c>
      <c r="G378" s="155">
        <v>233491.86</v>
      </c>
      <c r="H378" s="8"/>
      <c r="I378" s="1" t="s">
        <v>118</v>
      </c>
      <c r="J378" s="1" t="s">
        <v>119</v>
      </c>
      <c r="K378" s="1" t="s">
        <v>113</v>
      </c>
      <c r="M378" s="8"/>
    </row>
    <row r="379" spans="1:13" outlineLevel="1" x14ac:dyDescent="0.2">
      <c r="A379" s="170">
        <v>40057</v>
      </c>
      <c r="B379" s="154">
        <v>73326.270999999993</v>
      </c>
      <c r="C379" s="154">
        <v>69797.659</v>
      </c>
      <c r="D379" s="155">
        <v>3528.6120000000001</v>
      </c>
      <c r="E379" s="164">
        <v>1.5112355522800669</v>
      </c>
      <c r="F379" s="155">
        <f t="shared" si="65"/>
        <v>1153.1390000000183</v>
      </c>
      <c r="G379" s="155">
        <v>238173.611</v>
      </c>
      <c r="H379" s="8"/>
      <c r="I379" s="1" t="s">
        <v>118</v>
      </c>
      <c r="J379" s="1" t="s">
        <v>119</v>
      </c>
      <c r="K379" s="1" t="s">
        <v>113</v>
      </c>
      <c r="M379" s="8"/>
    </row>
    <row r="380" spans="1:13" outlineLevel="1" x14ac:dyDescent="0.2">
      <c r="A380" s="170">
        <v>40087</v>
      </c>
      <c r="B380" s="154">
        <v>71497.248000000007</v>
      </c>
      <c r="C380" s="154">
        <v>70821.597999999998</v>
      </c>
      <c r="D380" s="155">
        <v>675.65</v>
      </c>
      <c r="E380" s="164">
        <v>0.28367962225672433</v>
      </c>
      <c r="F380" s="155">
        <f t="shared" si="65"/>
        <v>1172.1329999999957</v>
      </c>
      <c r="G380" s="155">
        <v>240021.394</v>
      </c>
      <c r="H380" s="8"/>
      <c r="I380" s="1" t="s">
        <v>118</v>
      </c>
      <c r="J380" s="1" t="s">
        <v>119</v>
      </c>
      <c r="K380" s="1" t="s">
        <v>113</v>
      </c>
      <c r="M380" s="8"/>
    </row>
    <row r="381" spans="1:13" outlineLevel="1" x14ac:dyDescent="0.2">
      <c r="A381" s="170">
        <v>40118</v>
      </c>
      <c r="B381" s="154">
        <v>87579.657999999996</v>
      </c>
      <c r="C381" s="154">
        <v>83525.05</v>
      </c>
      <c r="D381" s="155">
        <v>4054.6080000000002</v>
      </c>
      <c r="E381" s="164">
        <v>1.6892796912443115</v>
      </c>
      <c r="F381" s="155">
        <f t="shared" si="65"/>
        <v>1203.9439999999959</v>
      </c>
      <c r="G381" s="155">
        <v>245279.946</v>
      </c>
      <c r="H381" s="8"/>
      <c r="I381" s="1" t="s">
        <v>118</v>
      </c>
      <c r="J381" s="1" t="s">
        <v>119</v>
      </c>
      <c r="K381" s="1" t="s">
        <v>113</v>
      </c>
      <c r="M381" s="8"/>
    </row>
    <row r="382" spans="1:13" outlineLevel="1" x14ac:dyDescent="0.2">
      <c r="A382" s="170">
        <v>40148</v>
      </c>
      <c r="B382" s="154">
        <v>96799.563999999998</v>
      </c>
      <c r="C382" s="154">
        <v>89630.073999999993</v>
      </c>
      <c r="D382" s="155">
        <v>7169.49</v>
      </c>
      <c r="E382" s="164">
        <v>2.9229825417525164</v>
      </c>
      <c r="F382" s="155">
        <f>(G382-G381-D382)</f>
        <v>1155.5440000000144</v>
      </c>
      <c r="G382" s="155">
        <v>253604.98</v>
      </c>
      <c r="H382" s="8"/>
      <c r="I382" s="1" t="s">
        <v>118</v>
      </c>
      <c r="J382" s="1" t="s">
        <v>119</v>
      </c>
      <c r="K382" s="1" t="s">
        <v>113</v>
      </c>
      <c r="M382" s="8"/>
    </row>
    <row r="383" spans="1:13" x14ac:dyDescent="0.2">
      <c r="A383" s="151" t="s">
        <v>96</v>
      </c>
      <c r="B383" s="152">
        <f>SUM(B371:B382)</f>
        <v>906593.00899999985</v>
      </c>
      <c r="C383" s="152">
        <f>SUM(C371:C382)</f>
        <v>882779.97600000014</v>
      </c>
      <c r="D383" s="152">
        <f>SUM(D371:D382)</f>
        <v>23813.032999999996</v>
      </c>
      <c r="E383" s="163">
        <f>(D383/G370*100)</f>
        <v>11.055246900744537</v>
      </c>
      <c r="F383" s="152">
        <f>SUM(F371:F382)</f>
        <v>14391.665000000005</v>
      </c>
      <c r="G383" s="153">
        <f>G382</f>
        <v>253604.98</v>
      </c>
      <c r="I383" s="1" t="s">
        <v>118</v>
      </c>
      <c r="J383" s="1" t="s">
        <v>119</v>
      </c>
      <c r="K383" s="1" t="s">
        <v>113</v>
      </c>
      <c r="M383" s="8"/>
    </row>
    <row r="384" spans="1:13" outlineLevel="1" x14ac:dyDescent="0.2">
      <c r="A384" s="170">
        <v>40179</v>
      </c>
      <c r="B384" s="154">
        <v>74497.370999999999</v>
      </c>
      <c r="C384" s="154">
        <v>72657.630999999994</v>
      </c>
      <c r="D384" s="155">
        <v>1839.74</v>
      </c>
      <c r="E384" s="164">
        <f>(D384/G382)*100</f>
        <v>0.72543528127878243</v>
      </c>
      <c r="F384" s="155">
        <f>(G384-G382-D384)</f>
        <v>1214.939999999993</v>
      </c>
      <c r="G384" s="155">
        <v>256659.66</v>
      </c>
      <c r="H384" s="8"/>
      <c r="I384" s="1" t="s">
        <v>118</v>
      </c>
      <c r="J384" s="1" t="s">
        <v>119</v>
      </c>
      <c r="K384" s="1" t="s">
        <v>113</v>
      </c>
      <c r="M384" s="8"/>
    </row>
    <row r="385" spans="1:13" outlineLevel="1" x14ac:dyDescent="0.2">
      <c r="A385" s="170">
        <v>40210</v>
      </c>
      <c r="B385" s="154">
        <v>69242.394</v>
      </c>
      <c r="C385" s="154">
        <v>68623.150999999998</v>
      </c>
      <c r="D385" s="155">
        <v>619.24300000000005</v>
      </c>
      <c r="E385" s="164">
        <f t="shared" ref="E385:E395" si="66">D385/G384*100</f>
        <v>0.24127009285370363</v>
      </c>
      <c r="F385" s="155">
        <f t="shared" ref="F385:F395" si="67">(G385-G384-D385)</f>
        <v>1157.4010000000003</v>
      </c>
      <c r="G385" s="155">
        <v>258436.304</v>
      </c>
      <c r="H385" s="8"/>
      <c r="I385" s="1" t="s">
        <v>118</v>
      </c>
      <c r="J385" s="1" t="s">
        <v>119</v>
      </c>
      <c r="K385" s="1" t="s">
        <v>113</v>
      </c>
      <c r="M385" s="8"/>
    </row>
    <row r="386" spans="1:13" outlineLevel="1" x14ac:dyDescent="0.2">
      <c r="A386" s="170">
        <v>40238</v>
      </c>
      <c r="B386" s="154">
        <v>82446.619000000006</v>
      </c>
      <c r="C386" s="154">
        <v>82373.620999999999</v>
      </c>
      <c r="D386" s="155">
        <v>72.998000000000005</v>
      </c>
      <c r="E386" s="164">
        <f t="shared" si="66"/>
        <v>2.8246031563738817E-2</v>
      </c>
      <c r="F386" s="155">
        <f t="shared" si="67"/>
        <v>1330.3000000000097</v>
      </c>
      <c r="G386" s="155">
        <v>259839.60200000001</v>
      </c>
      <c r="H386" s="8"/>
      <c r="I386" s="1" t="s">
        <v>118</v>
      </c>
      <c r="J386" s="1" t="s">
        <v>119</v>
      </c>
      <c r="K386" s="1" t="s">
        <v>113</v>
      </c>
      <c r="M386" s="8"/>
    </row>
    <row r="387" spans="1:13" outlineLevel="1" x14ac:dyDescent="0.2">
      <c r="A387" s="170">
        <v>40269</v>
      </c>
      <c r="B387" s="154">
        <v>76065.125999999989</v>
      </c>
      <c r="C387" s="154">
        <v>74891.324999999983</v>
      </c>
      <c r="D387" s="155">
        <v>1173.8009999999999</v>
      </c>
      <c r="E387" s="164">
        <f t="shared" si="66"/>
        <v>0.45174060880835237</v>
      </c>
      <c r="F387" s="155">
        <f t="shared" si="67"/>
        <v>1292.3070000000075</v>
      </c>
      <c r="G387" s="155">
        <v>262305.71000000002</v>
      </c>
      <c r="H387" s="8"/>
      <c r="I387" s="1" t="s">
        <v>118</v>
      </c>
      <c r="J387" s="1" t="s">
        <v>119</v>
      </c>
      <c r="K387" s="1" t="s">
        <v>113</v>
      </c>
      <c r="M387" s="8"/>
    </row>
    <row r="388" spans="1:13" outlineLevel="1" x14ac:dyDescent="0.2">
      <c r="A388" s="170">
        <v>40299</v>
      </c>
      <c r="B388" s="154">
        <v>77368.099999999991</v>
      </c>
      <c r="C388" s="154">
        <v>75804.640999999989</v>
      </c>
      <c r="D388" s="155">
        <v>1563.4590000000001</v>
      </c>
      <c r="E388" s="164">
        <f t="shared" si="66"/>
        <v>0.596044592395644</v>
      </c>
      <c r="F388" s="155">
        <f t="shared" si="67"/>
        <v>1276.5429999999785</v>
      </c>
      <c r="G388" s="155">
        <v>265145.712</v>
      </c>
      <c r="H388" s="8"/>
      <c r="I388" s="1" t="s">
        <v>118</v>
      </c>
      <c r="J388" s="1" t="s">
        <v>119</v>
      </c>
      <c r="K388" s="1" t="s">
        <v>113</v>
      </c>
      <c r="M388" s="8"/>
    </row>
    <row r="389" spans="1:13" outlineLevel="1" x14ac:dyDescent="0.2">
      <c r="A389" s="170">
        <v>40330</v>
      </c>
      <c r="B389" s="154">
        <v>79447.483000000007</v>
      </c>
      <c r="C389" s="154">
        <v>75867.078000000009</v>
      </c>
      <c r="D389" s="155">
        <v>3580.4050000000002</v>
      </c>
      <c r="E389" s="164">
        <f t="shared" si="66"/>
        <v>1.3503537255016971</v>
      </c>
      <c r="F389" s="155">
        <f t="shared" si="67"/>
        <v>1412.4539999999965</v>
      </c>
      <c r="G389" s="155">
        <v>270138.571</v>
      </c>
      <c r="H389" s="8"/>
      <c r="I389" s="1" t="s">
        <v>118</v>
      </c>
      <c r="J389" s="1" t="s">
        <v>119</v>
      </c>
      <c r="K389" s="1" t="s">
        <v>113</v>
      </c>
      <c r="M389" s="8"/>
    </row>
    <row r="390" spans="1:13" outlineLevel="1" x14ac:dyDescent="0.2">
      <c r="A390" s="170">
        <v>40360</v>
      </c>
      <c r="B390" s="154">
        <v>86049.188999999998</v>
      </c>
      <c r="C390" s="154">
        <v>80716.411999999997</v>
      </c>
      <c r="D390" s="155">
        <v>5332.777</v>
      </c>
      <c r="E390" s="164">
        <f t="shared" si="66"/>
        <v>1.9740894387125487</v>
      </c>
      <c r="F390" s="155">
        <f t="shared" si="67"/>
        <v>1469.4099999999762</v>
      </c>
      <c r="G390" s="155">
        <v>276940.75799999997</v>
      </c>
      <c r="H390" s="8"/>
      <c r="I390" s="1" t="s">
        <v>118</v>
      </c>
      <c r="J390" s="1" t="s">
        <v>119</v>
      </c>
      <c r="K390" s="1" t="s">
        <v>113</v>
      </c>
      <c r="M390" s="8"/>
    </row>
    <row r="391" spans="1:13" outlineLevel="1" x14ac:dyDescent="0.2">
      <c r="A391" s="170">
        <v>40391</v>
      </c>
      <c r="B391" s="154">
        <v>85344.691000000006</v>
      </c>
      <c r="C391" s="154">
        <v>84159.725000000006</v>
      </c>
      <c r="D391" s="155">
        <v>1184.9659999999999</v>
      </c>
      <c r="E391" s="164">
        <f t="shared" si="66"/>
        <v>0.42787706965112016</v>
      </c>
      <c r="F391" s="155">
        <f t="shared" si="67"/>
        <v>1555.6380000000504</v>
      </c>
      <c r="G391" s="155">
        <v>279681.36200000002</v>
      </c>
      <c r="H391" s="8"/>
      <c r="I391" s="1" t="s">
        <v>118</v>
      </c>
      <c r="J391" s="1" t="s">
        <v>119</v>
      </c>
      <c r="K391" s="1" t="s">
        <v>113</v>
      </c>
      <c r="M391" s="8"/>
    </row>
    <row r="392" spans="1:13" outlineLevel="1" x14ac:dyDescent="0.2">
      <c r="A392" s="170">
        <v>40422</v>
      </c>
      <c r="B392" s="154">
        <v>84492.753999999986</v>
      </c>
      <c r="C392" s="154">
        <v>80730.537999999986</v>
      </c>
      <c r="D392" s="155">
        <v>3762.2159999999999</v>
      </c>
      <c r="E392" s="164">
        <f t="shared" si="66"/>
        <v>1.3451793759499782</v>
      </c>
      <c r="F392" s="155">
        <f t="shared" si="67"/>
        <v>1521.5749999999684</v>
      </c>
      <c r="G392" s="155">
        <v>284965.15299999999</v>
      </c>
      <c r="H392" s="8"/>
      <c r="I392" s="1" t="s">
        <v>118</v>
      </c>
      <c r="J392" s="1" t="s">
        <v>119</v>
      </c>
      <c r="K392" s="1" t="s">
        <v>113</v>
      </c>
      <c r="M392" s="8"/>
    </row>
    <row r="393" spans="1:13" outlineLevel="1" x14ac:dyDescent="0.2">
      <c r="A393" s="170">
        <v>40452</v>
      </c>
      <c r="B393" s="154">
        <v>81262.871000000014</v>
      </c>
      <c r="C393" s="154">
        <v>79090.588000000018</v>
      </c>
      <c r="D393" s="155">
        <v>2172.2829999999999</v>
      </c>
      <c r="E393" s="164">
        <f t="shared" si="66"/>
        <v>0.76229776768530011</v>
      </c>
      <c r="F393" s="155">
        <f t="shared" si="67"/>
        <v>1519.6950000000029</v>
      </c>
      <c r="G393" s="155">
        <v>288657.13099999999</v>
      </c>
      <c r="H393" s="8"/>
      <c r="I393" s="1" t="s">
        <v>118</v>
      </c>
      <c r="J393" s="1" t="s">
        <v>119</v>
      </c>
      <c r="K393" s="1" t="s">
        <v>113</v>
      </c>
      <c r="M393" s="8"/>
    </row>
    <row r="394" spans="1:13" outlineLevel="1" x14ac:dyDescent="0.2">
      <c r="A394" s="170">
        <v>40483</v>
      </c>
      <c r="B394" s="154">
        <v>85960.483999999997</v>
      </c>
      <c r="C394" s="154">
        <v>82550.558999999994</v>
      </c>
      <c r="D394" s="155">
        <v>3409.9250000000002</v>
      </c>
      <c r="E394" s="164">
        <f t="shared" si="66"/>
        <v>1.1813063436842655</v>
      </c>
      <c r="F394" s="155">
        <f t="shared" si="67"/>
        <v>1493.4029999999793</v>
      </c>
      <c r="G394" s="155">
        <v>293560.45899999997</v>
      </c>
      <c r="H394" s="8"/>
      <c r="I394" s="1" t="s">
        <v>118</v>
      </c>
      <c r="J394" s="1" t="s">
        <v>119</v>
      </c>
      <c r="K394" s="1" t="s">
        <v>113</v>
      </c>
      <c r="M394" s="8"/>
    </row>
    <row r="395" spans="1:13" outlineLevel="1" x14ac:dyDescent="0.2">
      <c r="A395" s="170">
        <v>40513</v>
      </c>
      <c r="B395" s="154">
        <v>102277.29299999998</v>
      </c>
      <c r="C395" s="154">
        <v>97475.633999999976</v>
      </c>
      <c r="D395" s="155">
        <v>4801.6589999999997</v>
      </c>
      <c r="E395" s="164">
        <f t="shared" si="66"/>
        <v>1.6356627239092851</v>
      </c>
      <c r="F395" s="155">
        <f t="shared" si="67"/>
        <v>1516.0990000000311</v>
      </c>
      <c r="G395" s="155">
        <v>299878.217</v>
      </c>
      <c r="H395" s="8"/>
      <c r="I395" s="1" t="s">
        <v>118</v>
      </c>
      <c r="J395" s="1" t="s">
        <v>119</v>
      </c>
      <c r="K395" s="1" t="s">
        <v>113</v>
      </c>
      <c r="M395" s="8"/>
    </row>
    <row r="396" spans="1:13" x14ac:dyDescent="0.2">
      <c r="A396" s="151" t="s">
        <v>97</v>
      </c>
      <c r="B396" s="152">
        <f>SUM(B384:B395)</f>
        <v>984454.37499999988</v>
      </c>
      <c r="C396" s="152">
        <f>SUM(C384:C395)</f>
        <v>954940.90299999993</v>
      </c>
      <c r="D396" s="152">
        <f>SUM(D384:D395)</f>
        <v>29513.471999999998</v>
      </c>
      <c r="E396" s="163">
        <f>(D396/G383*100)</f>
        <v>11.637575886719572</v>
      </c>
      <c r="F396" s="152">
        <f>SUM(F384:F395)</f>
        <v>16759.764999999992</v>
      </c>
      <c r="G396" s="153">
        <f>INDEX($G$384:$G$395,COUNTA($G$384:$G$395))</f>
        <v>299878.217</v>
      </c>
      <c r="I396" s="1" t="s">
        <v>118</v>
      </c>
      <c r="J396" s="1" t="s">
        <v>119</v>
      </c>
      <c r="K396" s="1" t="s">
        <v>113</v>
      </c>
      <c r="M396" s="8"/>
    </row>
    <row r="397" spans="1:13" outlineLevel="1" x14ac:dyDescent="0.2">
      <c r="A397" s="170">
        <v>40544</v>
      </c>
      <c r="B397" s="154">
        <v>82396.622000000018</v>
      </c>
      <c r="C397" s="154">
        <v>82590.934000000023</v>
      </c>
      <c r="D397" s="155">
        <f t="shared" ref="D397:D402" si="68">B397-C397</f>
        <v>-194.31200000000536</v>
      </c>
      <c r="E397" s="164">
        <f>(D397/G395)*100</f>
        <v>-6.4796970564889464E-2</v>
      </c>
      <c r="F397" s="155">
        <f>(G397-G395-D397)</f>
        <v>1706.4860000000044</v>
      </c>
      <c r="G397" s="155">
        <v>301390.391</v>
      </c>
      <c r="H397" s="8"/>
      <c r="I397" s="1" t="s">
        <v>118</v>
      </c>
      <c r="J397" s="1" t="s">
        <v>119</v>
      </c>
      <c r="K397" s="1" t="s">
        <v>113</v>
      </c>
      <c r="M397" s="8"/>
    </row>
    <row r="398" spans="1:13" outlineLevel="1" x14ac:dyDescent="0.2">
      <c r="A398" s="170">
        <v>40575</v>
      </c>
      <c r="B398" s="154">
        <v>81092.376999999993</v>
      </c>
      <c r="C398" s="154">
        <v>81451.725999999995</v>
      </c>
      <c r="D398" s="155">
        <f t="shared" si="68"/>
        <v>-359.34900000000198</v>
      </c>
      <c r="E398" s="164">
        <f t="shared" ref="E398:E403" si="69">(D398/G397)*100</f>
        <v>-0.11923041036832589</v>
      </c>
      <c r="F398" s="155">
        <f t="shared" ref="F398:F406" si="70">(G398-G397-D398)</f>
        <v>1683.208999999988</v>
      </c>
      <c r="G398" s="155">
        <v>302714.25099999999</v>
      </c>
      <c r="H398" s="8"/>
      <c r="I398" s="1" t="s">
        <v>118</v>
      </c>
      <c r="J398" s="1" t="s">
        <v>119</v>
      </c>
      <c r="K398" s="1" t="s">
        <v>113</v>
      </c>
      <c r="M398" s="8"/>
    </row>
    <row r="399" spans="1:13" outlineLevel="1" x14ac:dyDescent="0.2">
      <c r="A399" s="170">
        <v>40603</v>
      </c>
      <c r="B399" s="154">
        <v>86517.888999999996</v>
      </c>
      <c r="C399" s="154">
        <v>86054.409</v>
      </c>
      <c r="D399" s="155">
        <f t="shared" si="68"/>
        <v>463.47999999999593</v>
      </c>
      <c r="E399" s="164">
        <f t="shared" si="69"/>
        <v>0.15310808740220028</v>
      </c>
      <c r="F399" s="155">
        <f t="shared" si="70"/>
        <v>1531.3419999999896</v>
      </c>
      <c r="G399" s="155">
        <v>304709.07299999997</v>
      </c>
      <c r="H399" s="8"/>
      <c r="I399" s="1" t="s">
        <v>118</v>
      </c>
      <c r="J399" s="1" t="s">
        <v>119</v>
      </c>
      <c r="K399" s="1" t="s">
        <v>113</v>
      </c>
      <c r="M399" s="8"/>
    </row>
    <row r="400" spans="1:13" outlineLevel="1" x14ac:dyDescent="0.2">
      <c r="A400" s="170">
        <v>40634</v>
      </c>
      <c r="B400" s="154">
        <v>82648.375999999989</v>
      </c>
      <c r="C400" s="154">
        <v>83253.271999999983</v>
      </c>
      <c r="D400" s="155">
        <f t="shared" si="68"/>
        <v>-604.89599999999336</v>
      </c>
      <c r="E400" s="164">
        <f t="shared" si="69"/>
        <v>-0.19851591357110443</v>
      </c>
      <c r="F400" s="155">
        <f t="shared" si="70"/>
        <v>1763.6180000000022</v>
      </c>
      <c r="G400" s="155">
        <v>305867.79499999998</v>
      </c>
      <c r="H400" s="8"/>
      <c r="I400" s="1" t="s">
        <v>118</v>
      </c>
      <c r="J400" s="1" t="s">
        <v>119</v>
      </c>
      <c r="K400" s="1" t="s">
        <v>113</v>
      </c>
      <c r="M400" s="8"/>
    </row>
    <row r="401" spans="1:13" outlineLevel="1" x14ac:dyDescent="0.2">
      <c r="A401" s="170">
        <v>40664</v>
      </c>
      <c r="B401" s="154">
        <v>91527.744000000006</v>
      </c>
      <c r="C401" s="154">
        <v>92173.739000000001</v>
      </c>
      <c r="D401" s="155">
        <f t="shared" si="68"/>
        <v>-645.99499999999534</v>
      </c>
      <c r="E401" s="164">
        <f t="shared" si="69"/>
        <v>-0.2112007248098792</v>
      </c>
      <c r="F401" s="155">
        <f t="shared" si="70"/>
        <v>1637.0130000000354</v>
      </c>
      <c r="G401" s="155">
        <v>306858.81300000002</v>
      </c>
      <c r="H401" s="8"/>
      <c r="I401" s="1" t="s">
        <v>118</v>
      </c>
      <c r="J401" s="1" t="s">
        <v>119</v>
      </c>
      <c r="K401" s="1" t="s">
        <v>113</v>
      </c>
      <c r="M401" s="8"/>
    </row>
    <row r="402" spans="1:13" outlineLevel="1" x14ac:dyDescent="0.2">
      <c r="A402" s="170">
        <v>40695</v>
      </c>
      <c r="B402" s="154">
        <v>89043.767999999996</v>
      </c>
      <c r="C402" s="154">
        <v>87849.641999999993</v>
      </c>
      <c r="D402" s="155">
        <f t="shared" si="68"/>
        <v>1194.1260000000038</v>
      </c>
      <c r="E402" s="164">
        <f t="shared" si="69"/>
        <v>0.38914508868937187</v>
      </c>
      <c r="F402" s="155">
        <f t="shared" si="70"/>
        <v>1864.5489999999845</v>
      </c>
      <c r="G402" s="155">
        <v>309917.48800000001</v>
      </c>
      <c r="H402" s="8"/>
      <c r="I402" s="1" t="s">
        <v>118</v>
      </c>
      <c r="J402" s="1" t="s">
        <v>119</v>
      </c>
      <c r="K402" s="1" t="s">
        <v>113</v>
      </c>
      <c r="M402" s="8"/>
    </row>
    <row r="403" spans="1:13" outlineLevel="1" x14ac:dyDescent="0.2">
      <c r="A403" s="170">
        <v>40725</v>
      </c>
      <c r="B403" s="154">
        <v>94145.678000000014</v>
      </c>
      <c r="C403" s="154">
        <v>90012.834000000017</v>
      </c>
      <c r="D403" s="155">
        <f t="shared" ref="D403:D408" si="71">B403-C403</f>
        <v>4132.8439999999973</v>
      </c>
      <c r="E403" s="164">
        <f t="shared" si="69"/>
        <v>1.3335304266534314</v>
      </c>
      <c r="F403" s="155">
        <f t="shared" si="70"/>
        <v>1790.4499999999971</v>
      </c>
      <c r="G403" s="155">
        <v>315840.78200000001</v>
      </c>
      <c r="H403" s="8"/>
      <c r="I403" s="1" t="s">
        <v>118</v>
      </c>
      <c r="J403" s="1" t="s">
        <v>119</v>
      </c>
      <c r="K403" s="1" t="s">
        <v>113</v>
      </c>
      <c r="M403" s="8"/>
    </row>
    <row r="404" spans="1:13" outlineLevel="1" x14ac:dyDescent="0.2">
      <c r="A404" s="170">
        <v>40756</v>
      </c>
      <c r="B404" s="154">
        <v>97483.280000000013</v>
      </c>
      <c r="C404" s="154">
        <v>96571.577000000019</v>
      </c>
      <c r="D404" s="155">
        <f t="shared" si="71"/>
        <v>911.70299999999406</v>
      </c>
      <c r="E404" s="164">
        <f>(D404/G403)*100</f>
        <v>0.28865904973601353</v>
      </c>
      <c r="F404" s="155">
        <f t="shared" si="70"/>
        <v>1937.2740000000194</v>
      </c>
      <c r="G404" s="155">
        <v>318689.75900000002</v>
      </c>
      <c r="H404" s="8"/>
      <c r="I404" s="1" t="s">
        <v>118</v>
      </c>
      <c r="J404" s="1" t="s">
        <v>119</v>
      </c>
      <c r="K404" s="1" t="s">
        <v>113</v>
      </c>
      <c r="M404" s="8"/>
    </row>
    <row r="405" spans="1:13" outlineLevel="1" x14ac:dyDescent="0.2">
      <c r="A405" s="170">
        <v>40787</v>
      </c>
      <c r="B405" s="154">
        <v>92838.084000000003</v>
      </c>
      <c r="C405" s="154">
        <v>90031.854000000007</v>
      </c>
      <c r="D405" s="155">
        <f t="shared" si="71"/>
        <v>2806.2299999999959</v>
      </c>
      <c r="E405" s="164">
        <f>(D405/G404)*100</f>
        <v>0.88055229914055566</v>
      </c>
      <c r="F405" s="155">
        <f t="shared" si="70"/>
        <v>1972.0879999999743</v>
      </c>
      <c r="G405" s="155">
        <v>323468.07699999999</v>
      </c>
      <c r="H405" s="8"/>
      <c r="I405" s="1" t="s">
        <v>118</v>
      </c>
      <c r="J405" s="1" t="s">
        <v>119</v>
      </c>
      <c r="K405" s="1" t="s">
        <v>113</v>
      </c>
      <c r="M405" s="8"/>
    </row>
    <row r="406" spans="1:13" outlineLevel="1" x14ac:dyDescent="0.2">
      <c r="A406" s="170">
        <v>40817</v>
      </c>
      <c r="B406" s="154">
        <v>88979.442999999985</v>
      </c>
      <c r="C406" s="154">
        <v>88497.802999999985</v>
      </c>
      <c r="D406" s="155">
        <f t="shared" si="71"/>
        <v>481.63999999999942</v>
      </c>
      <c r="E406" s="164">
        <f>(D406/G405)*100</f>
        <v>0.14889877371113794</v>
      </c>
      <c r="F406" s="155">
        <f t="shared" si="70"/>
        <v>1865.9639999999927</v>
      </c>
      <c r="G406" s="155">
        <v>325815.68099999998</v>
      </c>
      <c r="H406" s="8"/>
      <c r="I406" s="1" t="s">
        <v>118</v>
      </c>
      <c r="J406" s="1" t="s">
        <v>119</v>
      </c>
      <c r="K406" s="1" t="s">
        <v>113</v>
      </c>
      <c r="M406" s="8"/>
    </row>
    <row r="407" spans="1:13" outlineLevel="1" x14ac:dyDescent="0.2">
      <c r="A407" s="170">
        <v>40848</v>
      </c>
      <c r="B407" s="154">
        <v>90211.209000000003</v>
      </c>
      <c r="C407" s="154">
        <v>90233.201000000001</v>
      </c>
      <c r="D407" s="155">
        <f t="shared" si="71"/>
        <v>-21.99199999999837</v>
      </c>
      <c r="E407" s="164">
        <f>(D407/G406)*100</f>
        <v>-6.749828594038226E-3</v>
      </c>
      <c r="F407" s="155">
        <f>(G407-G406-D407)</f>
        <v>1782.7149999999965</v>
      </c>
      <c r="G407" s="155">
        <v>327576.40399999998</v>
      </c>
      <c r="H407" s="8"/>
      <c r="I407" s="1" t="s">
        <v>118</v>
      </c>
      <c r="J407" s="1" t="s">
        <v>119</v>
      </c>
      <c r="K407" s="1" t="s">
        <v>113</v>
      </c>
      <c r="M407" s="8"/>
    </row>
    <row r="408" spans="1:13" outlineLevel="1" x14ac:dyDescent="0.2">
      <c r="A408" s="170">
        <v>40878</v>
      </c>
      <c r="B408" s="154">
        <v>90838.325000000012</v>
      </c>
      <c r="C408" s="154">
        <v>89618.871999999988</v>
      </c>
      <c r="D408" s="155">
        <f t="shared" si="71"/>
        <v>1219.4530000000232</v>
      </c>
      <c r="E408" s="164">
        <f>(D408/G407)*100</f>
        <v>0.37226521358358378</v>
      </c>
      <c r="F408" s="155">
        <f>(G408-G407-D408)</f>
        <v>1773.4149999999936</v>
      </c>
      <c r="G408" s="155">
        <v>330569.272</v>
      </c>
      <c r="H408" s="8"/>
      <c r="I408" s="1" t="s">
        <v>118</v>
      </c>
      <c r="J408" s="1" t="s">
        <v>119</v>
      </c>
      <c r="K408" s="1" t="s">
        <v>113</v>
      </c>
      <c r="M408" s="8"/>
    </row>
    <row r="409" spans="1:13" x14ac:dyDescent="0.2">
      <c r="A409" s="151" t="s">
        <v>98</v>
      </c>
      <c r="B409" s="152">
        <f>SUM(B397:B408)</f>
        <v>1067722.7949999999</v>
      </c>
      <c r="C409" s="152">
        <f>SUM(C397:C408)</f>
        <v>1058339.8630000001</v>
      </c>
      <c r="D409" s="152">
        <f>SUM(D397:D408)</f>
        <v>9382.9320000000153</v>
      </c>
      <c r="E409" s="163">
        <f>(D409/G396*100)</f>
        <v>3.1289141618445782</v>
      </c>
      <c r="F409" s="152">
        <f>SUM(F397:F408)</f>
        <v>21308.122999999978</v>
      </c>
      <c r="G409" s="153">
        <f>INDEX($G$397:$G$408,COUNTA($G$397:$G$408))</f>
        <v>330569.272</v>
      </c>
      <c r="I409" s="1" t="s">
        <v>118</v>
      </c>
      <c r="J409" s="1" t="s">
        <v>119</v>
      </c>
      <c r="K409" s="1" t="s">
        <v>113</v>
      </c>
      <c r="M409" s="8"/>
    </row>
    <row r="410" spans="1:13" outlineLevel="1" x14ac:dyDescent="0.2">
      <c r="A410" s="170">
        <v>40909</v>
      </c>
      <c r="B410" s="154">
        <v>80217.96699999999</v>
      </c>
      <c r="C410" s="154">
        <v>80625.282999999996</v>
      </c>
      <c r="D410" s="155">
        <f t="shared" ref="D410:D421" si="72">B410-C410</f>
        <v>-407.31600000000617</v>
      </c>
      <c r="E410" s="164">
        <f>(D410/G408)*100</f>
        <v>-0.12321653417320839</v>
      </c>
      <c r="F410" s="155">
        <f>(G410-G408-D410)</f>
        <v>1877.9639999999927</v>
      </c>
      <c r="G410" s="155">
        <v>332039.92</v>
      </c>
      <c r="H410" s="8"/>
      <c r="I410" s="1" t="s">
        <v>118</v>
      </c>
      <c r="J410" s="1" t="s">
        <v>119</v>
      </c>
      <c r="K410" s="1" t="s">
        <v>113</v>
      </c>
      <c r="M410" s="8"/>
    </row>
    <row r="411" spans="1:13" outlineLevel="1" x14ac:dyDescent="0.2">
      <c r="A411" s="170">
        <v>40940</v>
      </c>
      <c r="B411" s="154">
        <v>71593.036999999997</v>
      </c>
      <c r="C411" s="154">
        <v>71802.702999999994</v>
      </c>
      <c r="D411" s="155">
        <f t="shared" si="72"/>
        <v>-209.66599999999744</v>
      </c>
      <c r="E411" s="164">
        <f t="shared" ref="E411:E416" si="73">(D411/G410)*100</f>
        <v>-6.3144817044889501E-2</v>
      </c>
      <c r="F411" s="155">
        <v>1841.075</v>
      </c>
      <c r="G411" s="155">
        <v>333671.34000000003</v>
      </c>
      <c r="H411" s="8"/>
      <c r="I411" s="1" t="s">
        <v>118</v>
      </c>
      <c r="J411" s="1" t="s">
        <v>119</v>
      </c>
      <c r="K411" s="1" t="s">
        <v>113</v>
      </c>
      <c r="M411" s="8"/>
    </row>
    <row r="412" spans="1:13" outlineLevel="1" x14ac:dyDescent="0.2">
      <c r="A412" s="170">
        <v>40969</v>
      </c>
      <c r="B412" s="154">
        <v>80234.645000000019</v>
      </c>
      <c r="C412" s="154">
        <v>77707.395000000019</v>
      </c>
      <c r="D412" s="155">
        <f t="shared" si="72"/>
        <v>2527.25</v>
      </c>
      <c r="E412" s="164">
        <f t="shared" si="73"/>
        <v>0.75740697418004188</v>
      </c>
      <c r="F412" s="155">
        <f t="shared" ref="F412:F420" si="74">(G412-G411-D412)</f>
        <v>1664.4400000000023</v>
      </c>
      <c r="G412" s="155">
        <v>337863.03</v>
      </c>
      <c r="H412" s="8"/>
      <c r="I412" s="1" t="s">
        <v>118</v>
      </c>
      <c r="J412" s="1" t="s">
        <v>119</v>
      </c>
      <c r="K412" s="1" t="s">
        <v>113</v>
      </c>
      <c r="M412" s="8"/>
    </row>
    <row r="413" spans="1:13" outlineLevel="1" x14ac:dyDescent="0.2">
      <c r="A413" s="170">
        <v>41000</v>
      </c>
      <c r="B413" s="154">
        <v>77591.947</v>
      </c>
      <c r="C413" s="154">
        <v>76049.83</v>
      </c>
      <c r="D413" s="155">
        <f t="shared" si="72"/>
        <v>1542.1169999999984</v>
      </c>
      <c r="E413" s="164">
        <f t="shared" si="73"/>
        <v>0.45643259636900735</v>
      </c>
      <c r="F413" s="155">
        <f t="shared" si="74"/>
        <v>1841.8229999999458</v>
      </c>
      <c r="G413" s="155">
        <v>341246.97</v>
      </c>
      <c r="H413" s="8"/>
      <c r="I413" s="1" t="s">
        <v>118</v>
      </c>
      <c r="J413" s="1" t="s">
        <v>119</v>
      </c>
      <c r="K413" s="1" t="s">
        <v>113</v>
      </c>
      <c r="M413" s="8"/>
    </row>
    <row r="414" spans="1:13" outlineLevel="1" x14ac:dyDescent="0.2">
      <c r="A414" s="170">
        <v>41030</v>
      </c>
      <c r="B414" s="154">
        <v>85421.017999999996</v>
      </c>
      <c r="C414" s="154">
        <v>80501.267000000007</v>
      </c>
      <c r="D414" s="155">
        <f t="shared" si="72"/>
        <v>4919.7509999999893</v>
      </c>
      <c r="E414" s="164">
        <f t="shared" si="73"/>
        <v>1.4416980757367575</v>
      </c>
      <c r="F414" s="155">
        <f t="shared" si="74"/>
        <v>1679.9160000000265</v>
      </c>
      <c r="G414" s="155">
        <v>347846.63699999999</v>
      </c>
      <c r="H414" s="8"/>
      <c r="I414" s="1" t="s">
        <v>118</v>
      </c>
      <c r="J414" s="1" t="s">
        <v>119</v>
      </c>
      <c r="K414" s="1" t="s">
        <v>113</v>
      </c>
      <c r="M414" s="8"/>
    </row>
    <row r="415" spans="1:13" outlineLevel="1" x14ac:dyDescent="0.2">
      <c r="A415" s="170">
        <v>41061</v>
      </c>
      <c r="B415" s="154">
        <v>80800.357000000004</v>
      </c>
      <c r="C415" s="154">
        <v>76705.315000000002</v>
      </c>
      <c r="D415" s="155">
        <f t="shared" si="72"/>
        <v>4095.0420000000013</v>
      </c>
      <c r="E415" s="164">
        <f t="shared" si="73"/>
        <v>1.1772550211546249</v>
      </c>
      <c r="F415" s="155">
        <f t="shared" si="74"/>
        <v>1731.3939999999857</v>
      </c>
      <c r="G415" s="155">
        <v>353673.07299999997</v>
      </c>
      <c r="H415" s="8"/>
      <c r="I415" s="1" t="s">
        <v>118</v>
      </c>
      <c r="J415" s="1" t="s">
        <v>119</v>
      </c>
      <c r="K415" s="1" t="s">
        <v>113</v>
      </c>
      <c r="M415" s="8"/>
    </row>
    <row r="416" spans="1:13" outlineLevel="1" x14ac:dyDescent="0.2">
      <c r="A416" s="170">
        <v>41091</v>
      </c>
      <c r="B416" s="154">
        <v>89037.513999999996</v>
      </c>
      <c r="C416" s="154">
        <v>82988.923999999999</v>
      </c>
      <c r="D416" s="155">
        <f t="shared" si="72"/>
        <v>6048.5899999999965</v>
      </c>
      <c r="E416" s="164">
        <f t="shared" si="73"/>
        <v>1.7102206703759992</v>
      </c>
      <c r="F416" s="155">
        <f t="shared" si="74"/>
        <v>1687.3220000000147</v>
      </c>
      <c r="G416" s="155">
        <v>361408.98499999999</v>
      </c>
      <c r="H416" s="8"/>
      <c r="I416" s="1" t="s">
        <v>118</v>
      </c>
      <c r="J416" s="1" t="s">
        <v>119</v>
      </c>
      <c r="K416" s="1" t="s">
        <v>113</v>
      </c>
      <c r="M416" s="8"/>
    </row>
    <row r="417" spans="1:13" outlineLevel="1" x14ac:dyDescent="0.2">
      <c r="A417" s="170">
        <v>41122</v>
      </c>
      <c r="B417" s="154">
        <v>87894.865999999995</v>
      </c>
      <c r="C417" s="154">
        <v>85784.334000000003</v>
      </c>
      <c r="D417" s="155">
        <f t="shared" si="72"/>
        <v>2110.531999999992</v>
      </c>
      <c r="E417" s="164">
        <f>(D417/G416)*100</f>
        <v>0.58397330658505686</v>
      </c>
      <c r="F417" s="155">
        <f t="shared" si="74"/>
        <v>1721.0399999999936</v>
      </c>
      <c r="G417" s="155">
        <v>365240.55699999997</v>
      </c>
      <c r="H417" s="8"/>
      <c r="I417" s="1" t="s">
        <v>118</v>
      </c>
      <c r="J417" s="1" t="s">
        <v>119</v>
      </c>
      <c r="K417" s="1" t="s">
        <v>113</v>
      </c>
      <c r="M417" s="8"/>
    </row>
    <row r="418" spans="1:13" outlineLevel="1" x14ac:dyDescent="0.2">
      <c r="A418" s="170">
        <v>41153</v>
      </c>
      <c r="B418" s="154">
        <v>76162.705000000002</v>
      </c>
      <c r="C418" s="154">
        <v>71894.350000000006</v>
      </c>
      <c r="D418" s="155">
        <f t="shared" si="72"/>
        <v>4268.3549999999959</v>
      </c>
      <c r="E418" s="164">
        <f>(D418/G417)*100</f>
        <v>1.1686421231692505</v>
      </c>
      <c r="F418" s="155">
        <f t="shared" si="74"/>
        <v>1704.5830000000278</v>
      </c>
      <c r="G418" s="155">
        <v>371213.495</v>
      </c>
      <c r="H418" s="8"/>
      <c r="I418" s="1" t="s">
        <v>118</v>
      </c>
      <c r="J418" s="1" t="s">
        <v>119</v>
      </c>
      <c r="K418" s="1" t="s">
        <v>113</v>
      </c>
      <c r="M418" s="8"/>
    </row>
    <row r="419" spans="1:13" outlineLevel="1" x14ac:dyDescent="0.2">
      <c r="A419" s="170">
        <v>41183</v>
      </c>
      <c r="B419" s="154">
        <v>89229.396999999997</v>
      </c>
      <c r="C419" s="154">
        <v>87044.346000000005</v>
      </c>
      <c r="D419" s="155">
        <f t="shared" si="72"/>
        <v>2185.0509999999922</v>
      </c>
      <c r="E419" s="164">
        <f>(D419/G418)*100</f>
        <v>0.58862380528487857</v>
      </c>
      <c r="F419" s="155">
        <f t="shared" si="74"/>
        <v>1687.0770000000339</v>
      </c>
      <c r="G419" s="155">
        <v>375085.62300000002</v>
      </c>
      <c r="H419" s="8"/>
      <c r="I419" s="1" t="s">
        <v>118</v>
      </c>
      <c r="J419" s="1" t="s">
        <v>119</v>
      </c>
      <c r="K419" s="1" t="s">
        <v>113</v>
      </c>
      <c r="M419" s="8"/>
    </row>
    <row r="420" spans="1:13" outlineLevel="1" x14ac:dyDescent="0.2">
      <c r="A420" s="170">
        <v>41214</v>
      </c>
      <c r="B420" s="154">
        <v>85709.687999999995</v>
      </c>
      <c r="C420" s="154">
        <v>82423.792000000001</v>
      </c>
      <c r="D420" s="155">
        <f t="shared" si="72"/>
        <v>3285.8959999999934</v>
      </c>
      <c r="E420" s="164">
        <f>(D420/G419)*100</f>
        <v>0.87603890912128968</v>
      </c>
      <c r="F420" s="155">
        <f t="shared" si="74"/>
        <v>1696.5969999999652</v>
      </c>
      <c r="G420" s="155">
        <v>380068.11599999998</v>
      </c>
      <c r="H420" s="8"/>
      <c r="I420" s="1" t="s">
        <v>118</v>
      </c>
      <c r="J420" s="1" t="s">
        <v>119</v>
      </c>
      <c r="K420" s="1" t="s">
        <v>113</v>
      </c>
      <c r="M420" s="8"/>
    </row>
    <row r="421" spans="1:13" outlineLevel="1" x14ac:dyDescent="0.2">
      <c r="A421" s="170">
        <v>41244</v>
      </c>
      <c r="B421" s="154">
        <v>98262.316999999995</v>
      </c>
      <c r="C421" s="154">
        <v>91388.343999999997</v>
      </c>
      <c r="D421" s="155">
        <f t="shared" si="72"/>
        <v>6873.9729999999981</v>
      </c>
      <c r="E421" s="164">
        <f>(D421/G420)*100</f>
        <v>1.8086160639689117</v>
      </c>
      <c r="F421" s="155">
        <f>(G421-G420-D421)</f>
        <v>1699.5730000000331</v>
      </c>
      <c r="G421" s="155">
        <v>388641.66200000001</v>
      </c>
      <c r="H421" s="8"/>
      <c r="I421" s="1" t="s">
        <v>118</v>
      </c>
      <c r="J421" s="1" t="s">
        <v>119</v>
      </c>
      <c r="K421" s="1" t="s">
        <v>113</v>
      </c>
      <c r="M421" s="8"/>
    </row>
    <row r="422" spans="1:13" x14ac:dyDescent="0.2">
      <c r="A422" s="151" t="s">
        <v>103</v>
      </c>
      <c r="B422" s="152">
        <f>SUM(B410:B421)</f>
        <v>1002155.458</v>
      </c>
      <c r="C422" s="152">
        <f>SUM(C410:C421)</f>
        <v>964915.88300000003</v>
      </c>
      <c r="D422" s="152">
        <f>SUM(D410:D421)</f>
        <v>37239.574999999953</v>
      </c>
      <c r="E422" s="163">
        <f>(D422/G409*100)</f>
        <v>11.265286327036456</v>
      </c>
      <c r="F422" s="152">
        <f>SUM(F410:F421)</f>
        <v>20832.804000000022</v>
      </c>
      <c r="G422" s="153">
        <f>INDEX($G$410:$G$421,COUNTA($G$410:$G$421))</f>
        <v>388641.66200000001</v>
      </c>
      <c r="I422" s="1" t="s">
        <v>118</v>
      </c>
      <c r="J422" s="1" t="s">
        <v>119</v>
      </c>
      <c r="K422" s="1" t="s">
        <v>113</v>
      </c>
      <c r="M422" s="8"/>
    </row>
    <row r="423" spans="1:13" outlineLevel="1" x14ac:dyDescent="0.2">
      <c r="A423" s="170">
        <v>41275</v>
      </c>
      <c r="B423" s="154">
        <v>90177.175000000003</v>
      </c>
      <c r="C423" s="154">
        <v>89193.18</v>
      </c>
      <c r="D423" s="155">
        <f t="shared" ref="D423:D429" si="75">B423-C423</f>
        <v>983.9950000000099</v>
      </c>
      <c r="E423" s="164">
        <f t="shared" ref="E423:E429" si="76">(D423/G422)*100</f>
        <v>0.25318824413631957</v>
      </c>
      <c r="F423" s="155">
        <f t="shared" ref="F423:F429" si="77">(G423-G422-D423)</f>
        <v>1745.1290000000008</v>
      </c>
      <c r="G423" s="155">
        <v>391370.78600000002</v>
      </c>
      <c r="H423" s="8"/>
      <c r="I423" s="1" t="s">
        <v>118</v>
      </c>
      <c r="J423" s="1" t="s">
        <v>119</v>
      </c>
      <c r="K423" s="1" t="s">
        <v>113</v>
      </c>
      <c r="M423" s="8"/>
    </row>
    <row r="424" spans="1:13" outlineLevel="1" x14ac:dyDescent="0.2">
      <c r="A424" s="170">
        <v>41306</v>
      </c>
      <c r="B424" s="154">
        <v>79417.877999999997</v>
      </c>
      <c r="C424" s="154">
        <v>77666.907999999996</v>
      </c>
      <c r="D424" s="155">
        <f t="shared" si="75"/>
        <v>1750.9700000000012</v>
      </c>
      <c r="E424" s="164">
        <f t="shared" si="76"/>
        <v>0.44739414964917718</v>
      </c>
      <c r="F424" s="155">
        <f t="shared" si="77"/>
        <v>1954.698000000004</v>
      </c>
      <c r="G424" s="155">
        <v>395076.45400000003</v>
      </c>
      <c r="H424" s="8"/>
      <c r="I424" s="1" t="s">
        <v>118</v>
      </c>
      <c r="J424" s="1" t="s">
        <v>119</v>
      </c>
      <c r="K424" s="1" t="s">
        <v>113</v>
      </c>
      <c r="M424" s="8"/>
    </row>
    <row r="425" spans="1:13" outlineLevel="1" x14ac:dyDescent="0.2">
      <c r="A425" s="170">
        <v>41334</v>
      </c>
      <c r="B425" s="154">
        <v>87557.320999999996</v>
      </c>
      <c r="C425" s="154">
        <v>83033.782999999996</v>
      </c>
      <c r="D425" s="155">
        <f t="shared" si="75"/>
        <v>4523.5380000000005</v>
      </c>
      <c r="E425" s="164">
        <f t="shared" si="76"/>
        <v>1.1449778781298874</v>
      </c>
      <c r="F425" s="155">
        <f t="shared" si="77"/>
        <v>1766.9069999999483</v>
      </c>
      <c r="G425" s="155">
        <v>401366.89899999998</v>
      </c>
      <c r="H425" s="8"/>
      <c r="I425" s="1" t="s">
        <v>118</v>
      </c>
      <c r="J425" s="1" t="s">
        <v>119</v>
      </c>
      <c r="K425" s="1" t="s">
        <v>113</v>
      </c>
      <c r="M425" s="8"/>
    </row>
    <row r="426" spans="1:13" outlineLevel="1" x14ac:dyDescent="0.2">
      <c r="A426" s="170">
        <v>41365</v>
      </c>
      <c r="B426" s="154">
        <v>94103.627999999997</v>
      </c>
      <c r="C426" s="154">
        <v>92312.058999999994</v>
      </c>
      <c r="D426" s="155">
        <f t="shared" si="75"/>
        <v>1791.5690000000031</v>
      </c>
      <c r="E426" s="164">
        <f t="shared" si="76"/>
        <v>0.44636690381386018</v>
      </c>
      <c r="F426" s="155">
        <f t="shared" si="77"/>
        <v>1777.172000000035</v>
      </c>
      <c r="G426" s="155">
        <v>404935.64</v>
      </c>
      <c r="H426" s="8"/>
      <c r="I426" s="1" t="s">
        <v>118</v>
      </c>
      <c r="J426" s="1" t="s">
        <v>119</v>
      </c>
      <c r="K426" s="1" t="s">
        <v>113</v>
      </c>
      <c r="M426" s="8"/>
    </row>
    <row r="427" spans="1:13" outlineLevel="1" x14ac:dyDescent="0.2">
      <c r="A427" s="170">
        <v>41395</v>
      </c>
      <c r="B427" s="154">
        <v>95162.672000000006</v>
      </c>
      <c r="C427" s="154">
        <v>90957.447</v>
      </c>
      <c r="D427" s="155">
        <f t="shared" si="75"/>
        <v>4205.2250000000058</v>
      </c>
      <c r="E427" s="164">
        <f t="shared" si="76"/>
        <v>1.0384921910059597</v>
      </c>
      <c r="F427" s="155">
        <f t="shared" si="77"/>
        <v>1789.0319999999774</v>
      </c>
      <c r="G427" s="155">
        <v>410929.897</v>
      </c>
      <c r="H427" s="8"/>
      <c r="I427" s="1" t="s">
        <v>118</v>
      </c>
      <c r="J427" s="1" t="s">
        <v>119</v>
      </c>
      <c r="K427" s="1" t="s">
        <v>113</v>
      </c>
      <c r="M427" s="8"/>
    </row>
    <row r="428" spans="1:13" outlineLevel="1" x14ac:dyDescent="0.2">
      <c r="A428" s="170">
        <v>41426</v>
      </c>
      <c r="B428" s="154">
        <v>91499.326000000001</v>
      </c>
      <c r="C428" s="154">
        <v>84788.008000000002</v>
      </c>
      <c r="D428" s="155">
        <f t="shared" si="75"/>
        <v>6711.3179999999993</v>
      </c>
      <c r="E428" s="164">
        <f t="shared" si="76"/>
        <v>1.6332026579219665</v>
      </c>
      <c r="F428" s="155">
        <f t="shared" si="77"/>
        <v>1826.30799999999</v>
      </c>
      <c r="G428" s="155">
        <v>419467.52299999999</v>
      </c>
      <c r="H428" s="8"/>
      <c r="I428" s="1" t="s">
        <v>118</v>
      </c>
      <c r="J428" s="1" t="s">
        <v>119</v>
      </c>
      <c r="K428" s="1" t="s">
        <v>113</v>
      </c>
      <c r="M428" s="8"/>
    </row>
    <row r="429" spans="1:13" outlineLevel="1" x14ac:dyDescent="0.2">
      <c r="A429" s="170">
        <v>41456</v>
      </c>
      <c r="B429" s="154">
        <v>105550.928</v>
      </c>
      <c r="C429" s="154">
        <v>97663.998000000007</v>
      </c>
      <c r="D429" s="155">
        <f t="shared" si="75"/>
        <v>7886.929999999993</v>
      </c>
      <c r="E429" s="164">
        <f t="shared" si="76"/>
        <v>1.8802242289446551</v>
      </c>
      <c r="F429" s="155">
        <f t="shared" si="77"/>
        <v>1888.5310000000172</v>
      </c>
      <c r="G429" s="155">
        <v>429242.984</v>
      </c>
      <c r="H429" s="8"/>
      <c r="I429" s="1" t="s">
        <v>118</v>
      </c>
      <c r="J429" s="1" t="s">
        <v>119</v>
      </c>
      <c r="K429" s="1" t="s">
        <v>113</v>
      </c>
      <c r="M429" s="8"/>
    </row>
    <row r="430" spans="1:13" outlineLevel="1" x14ac:dyDescent="0.2">
      <c r="A430" s="170">
        <v>41487</v>
      </c>
      <c r="B430" s="154">
        <v>98393.873999999996</v>
      </c>
      <c r="C430" s="154">
        <v>94452.25</v>
      </c>
      <c r="D430" s="155">
        <f>B430-C430</f>
        <v>3941.6239999999962</v>
      </c>
      <c r="E430" s="164">
        <f>(D430/G429)*100</f>
        <v>0.91827336658343517</v>
      </c>
      <c r="F430" s="155">
        <f>(G430-G429-D430)</f>
        <v>2036.4489999999787</v>
      </c>
      <c r="G430" s="155">
        <v>435221.05699999997</v>
      </c>
      <c r="H430" s="8"/>
      <c r="I430" s="1" t="s">
        <v>118</v>
      </c>
      <c r="J430" s="1" t="s">
        <v>119</v>
      </c>
      <c r="K430" s="1" t="s">
        <v>113</v>
      </c>
      <c r="M430" s="8"/>
    </row>
    <row r="431" spans="1:13" outlineLevel="1" x14ac:dyDescent="0.2">
      <c r="A431" s="170">
        <v>41518</v>
      </c>
      <c r="B431" s="154">
        <v>93360.899000000005</v>
      </c>
      <c r="C431" s="154">
        <v>88251.641000000003</v>
      </c>
      <c r="D431" s="155">
        <f>B431-C431</f>
        <v>5109.2580000000016</v>
      </c>
      <c r="E431" s="164">
        <f>(D431/G430)*100</f>
        <v>1.1739454968512708</v>
      </c>
      <c r="F431" s="155">
        <f>(G431-G430-D431)</f>
        <v>2104.1470000000263</v>
      </c>
      <c r="G431" s="155">
        <v>442434.462</v>
      </c>
      <c r="H431" s="8"/>
      <c r="I431" s="1" t="s">
        <v>118</v>
      </c>
      <c r="J431" s="1" t="s">
        <v>119</v>
      </c>
      <c r="K431" s="1" t="s">
        <v>113</v>
      </c>
      <c r="M431" s="8"/>
    </row>
    <row r="432" spans="1:13" outlineLevel="1" x14ac:dyDescent="0.2">
      <c r="A432" s="170">
        <v>41548</v>
      </c>
      <c r="B432" s="154">
        <v>102074.22900000001</v>
      </c>
      <c r="C432" s="154">
        <v>98337.967999999993</v>
      </c>
      <c r="D432" s="155">
        <f>B432-C432</f>
        <v>3736.2610000000132</v>
      </c>
      <c r="E432" s="164">
        <f>(D432/G431)*100</f>
        <v>0.84447784268667869</v>
      </c>
      <c r="F432" s="155">
        <f>(G432-G431-D432)</f>
        <v>2224.9779999999882</v>
      </c>
      <c r="G432" s="155">
        <v>448395.701</v>
      </c>
      <c r="H432" s="8"/>
      <c r="I432" s="1" t="s">
        <v>118</v>
      </c>
      <c r="J432" s="1" t="s">
        <v>119</v>
      </c>
      <c r="K432" s="1" t="s">
        <v>113</v>
      </c>
      <c r="M432" s="8"/>
    </row>
    <row r="433" spans="1:18" outlineLevel="1" x14ac:dyDescent="0.2">
      <c r="A433" s="170">
        <v>41579</v>
      </c>
      <c r="B433" s="154">
        <v>97801.854000000007</v>
      </c>
      <c r="C433" s="154">
        <v>92413.384000000005</v>
      </c>
      <c r="D433" s="155">
        <f>B433-C433</f>
        <v>5388.4700000000012</v>
      </c>
      <c r="E433" s="164">
        <f>(D433/G432)*100</f>
        <v>1.2017220477321215</v>
      </c>
      <c r="F433" s="155">
        <f>(G433-G432-D433)</f>
        <v>2408.9279999999853</v>
      </c>
      <c r="G433" s="155">
        <v>456193.09899999999</v>
      </c>
      <c r="H433" s="8"/>
      <c r="I433" s="1" t="s">
        <v>118</v>
      </c>
      <c r="J433" s="1" t="s">
        <v>119</v>
      </c>
      <c r="K433" s="1" t="s">
        <v>113</v>
      </c>
      <c r="M433" s="8"/>
    </row>
    <row r="434" spans="1:18" outlineLevel="1" x14ac:dyDescent="0.2">
      <c r="A434" s="170">
        <v>41609</v>
      </c>
      <c r="B434" s="154">
        <v>118060.141</v>
      </c>
      <c r="C434" s="154">
        <v>109808.55</v>
      </c>
      <c r="D434" s="155">
        <f>B434-C434</f>
        <v>8251.5910000000003</v>
      </c>
      <c r="E434" s="164">
        <f>(D434/G433)*100</f>
        <v>1.8087934732217421</v>
      </c>
      <c r="F434" s="155">
        <f>(G434-G433-D434)</f>
        <v>2343.9539999999834</v>
      </c>
      <c r="G434" s="155">
        <v>466788.64399999997</v>
      </c>
      <c r="H434" s="8"/>
      <c r="I434" s="1" t="s">
        <v>118</v>
      </c>
      <c r="J434" s="1" t="s">
        <v>119</v>
      </c>
      <c r="K434" s="1" t="s">
        <v>113</v>
      </c>
      <c r="M434" s="8"/>
    </row>
    <row r="435" spans="1:18" x14ac:dyDescent="0.2">
      <c r="A435" s="151" t="s">
        <v>107</v>
      </c>
      <c r="B435" s="152">
        <f>SUM(B423:B434)</f>
        <v>1153159.925</v>
      </c>
      <c r="C435" s="152">
        <f>SUM(C423:C434)</f>
        <v>1098879.176</v>
      </c>
      <c r="D435" s="152">
        <f>SUM(D423:D434)</f>
        <v>54280.749000000025</v>
      </c>
      <c r="E435" s="163">
        <f>(D435/G422*100)</f>
        <v>13.966785938662444</v>
      </c>
      <c r="F435" s="152">
        <f>SUM(F423:F434)</f>
        <v>23866.232999999935</v>
      </c>
      <c r="G435" s="153">
        <f>INDEX($G$423:$G$434,COUNTA($G$423:$G$434))</f>
        <v>466788.64399999997</v>
      </c>
      <c r="I435" s="1" t="s">
        <v>118</v>
      </c>
      <c r="J435" s="1" t="s">
        <v>119</v>
      </c>
      <c r="K435" s="1" t="s">
        <v>113</v>
      </c>
      <c r="M435" s="8"/>
    </row>
    <row r="436" spans="1:18" outlineLevel="1" x14ac:dyDescent="0.2">
      <c r="A436" s="170">
        <v>41640</v>
      </c>
      <c r="B436" s="154">
        <v>102223.71</v>
      </c>
      <c r="C436" s="154">
        <v>101513.06600000001</v>
      </c>
      <c r="D436" s="155">
        <f t="shared" ref="D436:D442" si="78">B436-C436</f>
        <v>710.64400000000023</v>
      </c>
      <c r="E436" s="164">
        <f>IF(G435="","",(D436/G435)*100)</f>
        <v>0.15224106437345125</v>
      </c>
      <c r="F436" s="155">
        <f>IF(G436="",0,(G436-G435-D436))</f>
        <v>2422.7890000000189</v>
      </c>
      <c r="G436" s="155">
        <v>469922.07699999999</v>
      </c>
      <c r="H436" s="8"/>
      <c r="I436" s="1" t="s">
        <v>118</v>
      </c>
      <c r="J436" s="1" t="s">
        <v>119</v>
      </c>
      <c r="K436" s="1" t="s">
        <v>113</v>
      </c>
      <c r="M436" s="8"/>
    </row>
    <row r="437" spans="1:18" outlineLevel="1" x14ac:dyDescent="0.2">
      <c r="A437" s="170">
        <v>41671</v>
      </c>
      <c r="B437" s="154">
        <v>99140.269</v>
      </c>
      <c r="C437" s="154">
        <v>97215.539000000004</v>
      </c>
      <c r="D437" s="155">
        <f t="shared" si="78"/>
        <v>1924.7299999999959</v>
      </c>
      <c r="E437" s="164">
        <f>IF(G436="",0,(D437/G436)*100)</f>
        <v>0.40958492784325939</v>
      </c>
      <c r="F437" s="155">
        <f t="shared" ref="F437:F447" si="79">IF(G437="",0,(G437-G436-D437))</f>
        <v>2686.9609999999957</v>
      </c>
      <c r="G437" s="155">
        <v>474533.76799999998</v>
      </c>
      <c r="H437" s="8"/>
      <c r="I437" s="1" t="s">
        <v>118</v>
      </c>
      <c r="J437" s="1" t="s">
        <v>119</v>
      </c>
      <c r="K437" s="1" t="s">
        <v>113</v>
      </c>
      <c r="M437" s="8"/>
    </row>
    <row r="438" spans="1:18" outlineLevel="1" x14ac:dyDescent="0.2">
      <c r="A438" s="170">
        <v>41699</v>
      </c>
      <c r="B438" s="154">
        <v>95627.576000000001</v>
      </c>
      <c r="C438" s="154">
        <v>93918.74</v>
      </c>
      <c r="D438" s="155">
        <f t="shared" si="78"/>
        <v>1708.8359999999957</v>
      </c>
      <c r="E438" s="164">
        <f t="shared" ref="E438:E447" si="80">IF(G437="",0,(D438/G437)*100)</f>
        <v>0.36010840855481452</v>
      </c>
      <c r="F438" s="155">
        <f t="shared" si="79"/>
        <v>2348.5310000000318</v>
      </c>
      <c r="G438" s="155">
        <v>478591.13500000001</v>
      </c>
      <c r="H438" s="8"/>
      <c r="I438" s="1" t="s">
        <v>118</v>
      </c>
      <c r="J438" s="1" t="s">
        <v>119</v>
      </c>
      <c r="K438" s="1" t="s">
        <v>113</v>
      </c>
      <c r="M438" s="8"/>
    </row>
    <row r="439" spans="1:18" outlineLevel="1" x14ac:dyDescent="0.2">
      <c r="A439" s="170">
        <v>41730</v>
      </c>
      <c r="B439" s="154">
        <v>99107.432000000001</v>
      </c>
      <c r="C439" s="154">
        <v>99843.107000000004</v>
      </c>
      <c r="D439" s="155">
        <f t="shared" si="78"/>
        <v>-735.67500000000291</v>
      </c>
      <c r="E439" s="164">
        <f t="shared" si="80"/>
        <v>-0.15371680463742873</v>
      </c>
      <c r="F439" s="155">
        <f t="shared" si="79"/>
        <v>2609.4560000000201</v>
      </c>
      <c r="G439" s="155">
        <v>480464.91600000003</v>
      </c>
      <c r="H439" s="8"/>
      <c r="I439" s="1" t="s">
        <v>118</v>
      </c>
      <c r="J439" s="1" t="s">
        <v>119</v>
      </c>
      <c r="K439" s="1" t="s">
        <v>113</v>
      </c>
      <c r="M439" s="8"/>
    </row>
    <row r="440" spans="1:18" outlineLevel="1" x14ac:dyDescent="0.2">
      <c r="A440" s="170">
        <v>41760</v>
      </c>
      <c r="B440" s="154">
        <v>105446.33100000001</v>
      </c>
      <c r="C440" s="154">
        <v>103268.24099999999</v>
      </c>
      <c r="D440" s="155">
        <f t="shared" si="78"/>
        <v>2178.0900000000111</v>
      </c>
      <c r="E440" s="164">
        <f t="shared" si="80"/>
        <v>0.45332966621854465</v>
      </c>
      <c r="F440" s="155">
        <f t="shared" si="79"/>
        <v>2394.1539999999368</v>
      </c>
      <c r="G440" s="155">
        <v>485037.16</v>
      </c>
      <c r="H440" s="8"/>
      <c r="I440" s="1" t="s">
        <v>118</v>
      </c>
      <c r="J440" s="1" t="s">
        <v>119</v>
      </c>
      <c r="K440" s="1" t="s">
        <v>113</v>
      </c>
      <c r="M440" s="8"/>
    </row>
    <row r="441" spans="1:18" outlineLevel="1" x14ac:dyDescent="0.2">
      <c r="A441" s="170">
        <v>41791</v>
      </c>
      <c r="B441" s="154">
        <v>105748.035</v>
      </c>
      <c r="C441" s="154">
        <v>103208.515</v>
      </c>
      <c r="D441" s="155">
        <f t="shared" si="78"/>
        <v>2539.5200000000041</v>
      </c>
      <c r="E441" s="164">
        <f t="shared" si="80"/>
        <v>0.52357225578345468</v>
      </c>
      <c r="F441" s="155">
        <f t="shared" si="79"/>
        <v>2664.4100000000471</v>
      </c>
      <c r="G441" s="155">
        <v>490241.09</v>
      </c>
      <c r="H441" s="8"/>
      <c r="I441" s="1" t="s">
        <v>118</v>
      </c>
      <c r="J441" s="1" t="s">
        <v>119</v>
      </c>
      <c r="K441" s="1" t="s">
        <v>113</v>
      </c>
      <c r="M441" s="8"/>
    </row>
    <row r="442" spans="1:18" outlineLevel="1" x14ac:dyDescent="0.2">
      <c r="A442" s="170">
        <v>41821</v>
      </c>
      <c r="B442" s="154">
        <v>115878.872</v>
      </c>
      <c r="C442" s="154">
        <v>113011.077</v>
      </c>
      <c r="D442" s="155">
        <f t="shared" si="78"/>
        <v>2867.7949999999983</v>
      </c>
      <c r="E442" s="164">
        <f t="shared" si="80"/>
        <v>0.58497646535503545</v>
      </c>
      <c r="F442" s="155">
        <f t="shared" si="79"/>
        <v>2616.9879999999976</v>
      </c>
      <c r="G442" s="155">
        <v>495725.87300000002</v>
      </c>
      <c r="H442" s="8"/>
      <c r="I442" s="1" t="s">
        <v>118</v>
      </c>
      <c r="J442" s="1" t="s">
        <v>119</v>
      </c>
      <c r="K442" s="1" t="s">
        <v>113</v>
      </c>
      <c r="M442" s="8"/>
    </row>
    <row r="443" spans="1:18" outlineLevel="1" x14ac:dyDescent="0.2">
      <c r="A443" s="170">
        <v>41852</v>
      </c>
      <c r="B443" s="154">
        <v>109801.261</v>
      </c>
      <c r="C443" s="154">
        <v>108855.72900000001</v>
      </c>
      <c r="D443" s="155">
        <f>B443-C443</f>
        <v>945.53199999999197</v>
      </c>
      <c r="E443" s="164">
        <f t="shared" si="80"/>
        <v>0.19073686718788468</v>
      </c>
      <c r="F443" s="155">
        <f t="shared" si="79"/>
        <v>2809.4240000000136</v>
      </c>
      <c r="G443" s="155">
        <v>499480.82900000003</v>
      </c>
      <c r="H443" s="8"/>
      <c r="I443" s="1" t="s">
        <v>118</v>
      </c>
      <c r="J443" s="1" t="s">
        <v>119</v>
      </c>
      <c r="K443" s="1" t="s">
        <v>113</v>
      </c>
      <c r="M443" s="8"/>
    </row>
    <row r="444" spans="1:18" outlineLevel="1" x14ac:dyDescent="0.2">
      <c r="A444" s="170">
        <v>41883</v>
      </c>
      <c r="B444" s="154">
        <v>117875.42200000001</v>
      </c>
      <c r="C444" s="154">
        <v>116181.219</v>
      </c>
      <c r="D444" s="155">
        <f>B444-C444</f>
        <v>1694.2030000000086</v>
      </c>
      <c r="E444" s="164">
        <f t="shared" si="80"/>
        <v>0.33919279812839592</v>
      </c>
      <c r="F444" s="155">
        <f t="shared" si="79"/>
        <v>2777.8749999999709</v>
      </c>
      <c r="G444" s="155">
        <v>503952.90700000001</v>
      </c>
      <c r="H444" s="8"/>
      <c r="I444" s="1" t="s">
        <v>118</v>
      </c>
      <c r="J444" s="1" t="s">
        <v>119</v>
      </c>
      <c r="K444" s="1" t="s">
        <v>113</v>
      </c>
      <c r="M444" s="8"/>
    </row>
    <row r="445" spans="1:18" outlineLevel="1" x14ac:dyDescent="0.2">
      <c r="A445" s="170">
        <v>41913</v>
      </c>
      <c r="B445" s="154">
        <v>117485.077</v>
      </c>
      <c r="C445" s="154">
        <v>115943.171</v>
      </c>
      <c r="D445" s="155">
        <f>B445-C445</f>
        <v>1541.9060000000027</v>
      </c>
      <c r="E445" s="164">
        <f t="shared" si="80"/>
        <v>0.30596231881642916</v>
      </c>
      <c r="F445" s="155">
        <f t="shared" si="79"/>
        <v>2776.9579999999987</v>
      </c>
      <c r="G445" s="155">
        <v>508271.77100000001</v>
      </c>
      <c r="H445" s="8"/>
      <c r="I445" s="1" t="s">
        <v>118</v>
      </c>
      <c r="J445" s="1" t="s">
        <v>119</v>
      </c>
      <c r="K445" s="1" t="s">
        <v>113</v>
      </c>
      <c r="M445" s="8"/>
    </row>
    <row r="446" spans="1:18" outlineLevel="1" x14ac:dyDescent="0.2">
      <c r="A446" s="170">
        <v>41944</v>
      </c>
      <c r="B446" s="154">
        <v>113771.32399999999</v>
      </c>
      <c r="C446" s="154">
        <v>110163.48</v>
      </c>
      <c r="D446" s="155">
        <f>B446-C446</f>
        <v>3607.8439999999973</v>
      </c>
      <c r="E446" s="164">
        <f t="shared" si="80"/>
        <v>0.7098257676010099</v>
      </c>
      <c r="F446" s="155">
        <f t="shared" si="79"/>
        <v>2891.9270000000106</v>
      </c>
      <c r="G446" s="155">
        <v>514771.54200000002</v>
      </c>
      <c r="H446" s="8"/>
      <c r="I446" s="1" t="s">
        <v>118</v>
      </c>
      <c r="J446" s="1" t="s">
        <v>119</v>
      </c>
      <c r="K446" s="1" t="s">
        <v>113</v>
      </c>
      <c r="M446" s="8"/>
    </row>
    <row r="447" spans="1:18" outlineLevel="1" x14ac:dyDescent="0.2">
      <c r="A447" s="170">
        <v>41974</v>
      </c>
      <c r="B447" s="154">
        <v>145875.79300000001</v>
      </c>
      <c r="C447" s="154">
        <v>141100.66</v>
      </c>
      <c r="D447" s="155">
        <f>B447-C447</f>
        <v>4775.1330000000016</v>
      </c>
      <c r="E447" s="164">
        <f t="shared" si="80"/>
        <v>0.92762179149367219</v>
      </c>
      <c r="F447" s="155">
        <f t="shared" si="79"/>
        <v>2796.8259999999718</v>
      </c>
      <c r="G447" s="155">
        <v>522343.50099999999</v>
      </c>
      <c r="H447" s="8"/>
      <c r="I447" s="1" t="s">
        <v>118</v>
      </c>
      <c r="J447" s="1" t="s">
        <v>119</v>
      </c>
      <c r="K447" s="1" t="s">
        <v>113</v>
      </c>
      <c r="M447" s="8"/>
    </row>
    <row r="448" spans="1:18" x14ac:dyDescent="0.2">
      <c r="A448" s="151" t="s">
        <v>120</v>
      </c>
      <c r="B448" s="152">
        <f>SUM(B436:B447)</f>
        <v>1327981.1020000002</v>
      </c>
      <c r="C448" s="152">
        <f>SUM(C436:C447)</f>
        <v>1304222.544</v>
      </c>
      <c r="D448" s="152">
        <f>SUM(D436:D447)</f>
        <v>23758.558000000005</v>
      </c>
      <c r="E448" s="163">
        <f>(D448/G435*100)</f>
        <v>5.0897892023268687</v>
      </c>
      <c r="F448" s="152">
        <f>SUM(F436:F447)</f>
        <v>31796.299000000014</v>
      </c>
      <c r="G448" s="153">
        <f>INDEX($G$436:$G$447,COUNTA($G$436:$G$447))</f>
        <v>522343.50099999999</v>
      </c>
      <c r="I448" s="1" t="s">
        <v>118</v>
      </c>
      <c r="J448" s="1" t="s">
        <v>119</v>
      </c>
      <c r="K448" s="1" t="s">
        <v>113</v>
      </c>
      <c r="M448" s="132"/>
      <c r="O448" s="111"/>
      <c r="P448" s="111"/>
      <c r="R448" s="111"/>
    </row>
    <row r="449" spans="1:13" outlineLevel="1" x14ac:dyDescent="0.2">
      <c r="A449" s="170">
        <v>42005</v>
      </c>
      <c r="B449" s="154">
        <v>121289.568</v>
      </c>
      <c r="C449" s="154">
        <v>125743.254</v>
      </c>
      <c r="D449" s="155">
        <f t="shared" ref="D449:D455" si="81">B449-C449</f>
        <v>-4453.6860000000015</v>
      </c>
      <c r="E449" s="164">
        <f>IF(G448="","",(D449/G448)*100)</f>
        <v>-0.85263547674540741</v>
      </c>
      <c r="F449" s="155">
        <f>IF(G449="",0,(G449-G448-D449))</f>
        <v>2812.5179999999964</v>
      </c>
      <c r="G449" s="155">
        <v>520702.33299999998</v>
      </c>
      <c r="H449" s="8"/>
      <c r="I449" s="1" t="s">
        <v>118</v>
      </c>
      <c r="J449" s="1" t="s">
        <v>119</v>
      </c>
      <c r="K449" s="1" t="s">
        <v>113</v>
      </c>
      <c r="M449" s="8"/>
    </row>
    <row r="450" spans="1:13" outlineLevel="1" x14ac:dyDescent="0.2">
      <c r="A450" s="170">
        <v>42036</v>
      </c>
      <c r="B450" s="154">
        <v>112900.341</v>
      </c>
      <c r="C450" s="154">
        <v>117771.88</v>
      </c>
      <c r="D450" s="155">
        <f t="shared" si="81"/>
        <v>-4871.5390000000043</v>
      </c>
      <c r="E450" s="164">
        <f>IF(G449="",0,(D450/G449)*100)</f>
        <v>-0.9355708033672292</v>
      </c>
      <c r="F450" s="155">
        <f t="shared" ref="F450:F460" si="82">IF(G450="",0,(G450-G449-D450))</f>
        <v>2888.4570000000094</v>
      </c>
      <c r="G450" s="155">
        <v>518719.25099999999</v>
      </c>
      <c r="H450" s="8"/>
      <c r="I450" s="1" t="s">
        <v>118</v>
      </c>
      <c r="J450" s="1" t="s">
        <v>119</v>
      </c>
      <c r="K450" s="1" t="s">
        <v>113</v>
      </c>
      <c r="M450" s="8"/>
    </row>
    <row r="451" spans="1:13" outlineLevel="1" x14ac:dyDescent="0.2">
      <c r="A451" s="170">
        <v>42064</v>
      </c>
      <c r="B451" s="154">
        <v>132288.15900000001</v>
      </c>
      <c r="C451" s="154">
        <v>141489.56</v>
      </c>
      <c r="D451" s="155">
        <f t="shared" si="81"/>
        <v>-9201.4009999999835</v>
      </c>
      <c r="E451" s="164">
        <f t="shared" ref="E451:E460" si="83">IF(G450="",0,(D451/G450)*100)</f>
        <v>-1.7738691946098573</v>
      </c>
      <c r="F451" s="155">
        <f t="shared" si="82"/>
        <v>2784.0199999999895</v>
      </c>
      <c r="G451" s="155">
        <v>512301.87</v>
      </c>
      <c r="H451" s="8"/>
      <c r="I451" s="1" t="s">
        <v>118</v>
      </c>
      <c r="J451" s="1" t="s">
        <v>119</v>
      </c>
      <c r="K451" s="1" t="s">
        <v>113</v>
      </c>
      <c r="M451" s="8"/>
    </row>
    <row r="452" spans="1:13" outlineLevel="1" x14ac:dyDescent="0.2">
      <c r="A452" s="170">
        <v>42095</v>
      </c>
      <c r="B452" s="154">
        <v>124143.484</v>
      </c>
      <c r="C452" s="154">
        <v>129369.773</v>
      </c>
      <c r="D452" s="155">
        <f t="shared" si="81"/>
        <v>-5226.2890000000043</v>
      </c>
      <c r="E452" s="164">
        <f t="shared" si="83"/>
        <v>-1.0201580954603982</v>
      </c>
      <c r="F452" s="155">
        <f t="shared" si="82"/>
        <v>3040.4799999999959</v>
      </c>
      <c r="G452" s="155">
        <v>510116.06099999999</v>
      </c>
      <c r="H452" s="8"/>
      <c r="I452" s="1" t="s">
        <v>118</v>
      </c>
      <c r="J452" s="1" t="s">
        <v>119</v>
      </c>
      <c r="K452" s="1" t="s">
        <v>113</v>
      </c>
      <c r="M452" s="8"/>
    </row>
    <row r="453" spans="1:13" outlineLevel="1" x14ac:dyDescent="0.2">
      <c r="A453" s="170">
        <v>42125</v>
      </c>
      <c r="B453" s="154">
        <v>124352.549</v>
      </c>
      <c r="C453" s="154">
        <v>129639.77899999999</v>
      </c>
      <c r="D453" s="155">
        <f t="shared" si="81"/>
        <v>-5287.2299999999959</v>
      </c>
      <c r="E453" s="164">
        <f t="shared" si="83"/>
        <v>-1.0364758932771567</v>
      </c>
      <c r="F453" s="155">
        <f t="shared" si="82"/>
        <v>2874.7720000000118</v>
      </c>
      <c r="G453" s="155">
        <v>507703.603</v>
      </c>
      <c r="H453" s="8"/>
      <c r="I453" s="1" t="s">
        <v>118</v>
      </c>
      <c r="J453" s="1" t="s">
        <v>119</v>
      </c>
      <c r="K453" s="1" t="s">
        <v>113</v>
      </c>
      <c r="M453" s="8"/>
    </row>
    <row r="454" spans="1:13" outlineLevel="1" x14ac:dyDescent="0.2">
      <c r="A454" s="170">
        <v>42156</v>
      </c>
      <c r="B454" s="154">
        <v>132846.77600000001</v>
      </c>
      <c r="C454" s="154">
        <v>139961.79199999999</v>
      </c>
      <c r="D454" s="155">
        <f t="shared" si="81"/>
        <v>-7115.0159999999742</v>
      </c>
      <c r="E454" s="164">
        <f t="shared" si="83"/>
        <v>-1.401411366387324</v>
      </c>
      <c r="F454" s="155">
        <f t="shared" si="82"/>
        <v>3168.5549999999639</v>
      </c>
      <c r="G454" s="155">
        <v>503757.14199999999</v>
      </c>
      <c r="H454" s="8"/>
      <c r="I454" s="1" t="s">
        <v>118</v>
      </c>
      <c r="J454" s="1" t="s">
        <v>119</v>
      </c>
      <c r="K454" s="1" t="s">
        <v>113</v>
      </c>
      <c r="M454" s="8"/>
    </row>
    <row r="455" spans="1:13" outlineLevel="1" x14ac:dyDescent="0.2">
      <c r="A455" s="170">
        <v>42186</v>
      </c>
      <c r="B455" s="154">
        <v>137543.91</v>
      </c>
      <c r="C455" s="154">
        <v>139916.51999999999</v>
      </c>
      <c r="D455" s="155">
        <f t="shared" si="81"/>
        <v>-2372.609999999986</v>
      </c>
      <c r="E455" s="164">
        <f t="shared" si="83"/>
        <v>-0.47098290072480725</v>
      </c>
      <c r="F455" s="155">
        <f t="shared" si="82"/>
        <v>3225.335000000021</v>
      </c>
      <c r="G455" s="155">
        <v>504609.86700000003</v>
      </c>
      <c r="H455" s="8"/>
      <c r="I455" s="1" t="s">
        <v>118</v>
      </c>
      <c r="J455" s="1" t="s">
        <v>119</v>
      </c>
      <c r="K455" s="1" t="s">
        <v>113</v>
      </c>
      <c r="M455" s="8"/>
    </row>
    <row r="456" spans="1:13" outlineLevel="1" x14ac:dyDescent="0.2">
      <c r="A456" s="170">
        <v>42217</v>
      </c>
      <c r="B456" s="154">
        <v>127760.08900000001</v>
      </c>
      <c r="C456" s="154">
        <v>134991.85</v>
      </c>
      <c r="D456" s="155">
        <f>B456-C456</f>
        <v>-7231.7609999999986</v>
      </c>
      <c r="E456" s="164">
        <f t="shared" si="83"/>
        <v>-1.433139039272888</v>
      </c>
      <c r="F456" s="155">
        <f t="shared" si="82"/>
        <v>3403.3289999999688</v>
      </c>
      <c r="G456" s="155">
        <v>500781.435</v>
      </c>
      <c r="H456" s="8"/>
      <c r="I456" s="1" t="s">
        <v>118</v>
      </c>
      <c r="J456" s="1" t="s">
        <v>119</v>
      </c>
      <c r="K456" s="1" t="s">
        <v>113</v>
      </c>
      <c r="M456" s="8"/>
    </row>
    <row r="457" spans="1:13" outlineLevel="1" x14ac:dyDescent="0.2">
      <c r="A457" s="170">
        <v>42248</v>
      </c>
      <c r="B457" s="154">
        <v>128545.84</v>
      </c>
      <c r="C457" s="154">
        <v>133922.59299999999</v>
      </c>
      <c r="D457" s="155">
        <f>B457-C457</f>
        <v>-5376.752999999997</v>
      </c>
      <c r="E457" s="164">
        <f t="shared" si="83"/>
        <v>-1.0736725893203283</v>
      </c>
      <c r="F457" s="155">
        <f t="shared" si="82"/>
        <v>3281.2549999999756</v>
      </c>
      <c r="G457" s="155">
        <v>498685.93699999998</v>
      </c>
      <c r="H457" s="8"/>
      <c r="I457" s="1" t="s">
        <v>118</v>
      </c>
      <c r="J457" s="1" t="s">
        <v>119</v>
      </c>
      <c r="K457" s="1" t="s">
        <v>113</v>
      </c>
      <c r="M457" s="8"/>
    </row>
    <row r="458" spans="1:13" outlineLevel="1" x14ac:dyDescent="0.2">
      <c r="A458" s="170">
        <v>42278</v>
      </c>
      <c r="B458" s="154">
        <v>124742.166</v>
      </c>
      <c r="C458" s="154">
        <v>127584.03200000001</v>
      </c>
      <c r="D458" s="155">
        <f>B458-C458</f>
        <v>-2841.8660000000091</v>
      </c>
      <c r="E458" s="164">
        <f t="shared" si="83"/>
        <v>-0.56987089250924861</v>
      </c>
      <c r="F458" s="155">
        <f t="shared" si="82"/>
        <v>3148.8430000000226</v>
      </c>
      <c r="G458" s="155">
        <v>498992.91399999999</v>
      </c>
      <c r="H458" s="8"/>
      <c r="I458" s="1" t="s">
        <v>118</v>
      </c>
      <c r="J458" s="1" t="s">
        <v>119</v>
      </c>
      <c r="K458" s="1" t="s">
        <v>113</v>
      </c>
      <c r="M458" s="8"/>
    </row>
    <row r="459" spans="1:13" outlineLevel="1" x14ac:dyDescent="0.2">
      <c r="A459" s="170">
        <v>42309</v>
      </c>
      <c r="B459" s="154">
        <v>135942.677</v>
      </c>
      <c r="C459" s="154">
        <v>136904.43400000001</v>
      </c>
      <c r="D459" s="155">
        <f>B459-C459</f>
        <v>-961.75700000001234</v>
      </c>
      <c r="E459" s="164">
        <f t="shared" si="83"/>
        <v>-0.19273961072722015</v>
      </c>
      <c r="F459" s="155">
        <f t="shared" si="82"/>
        <v>3160.262000000017</v>
      </c>
      <c r="G459" s="155">
        <v>501191.41899999999</v>
      </c>
      <c r="H459" s="8"/>
      <c r="I459" s="1" t="s">
        <v>118</v>
      </c>
      <c r="J459" s="1" t="s">
        <v>119</v>
      </c>
      <c r="K459" s="1" t="s">
        <v>113</v>
      </c>
      <c r="M459" s="8"/>
    </row>
    <row r="460" spans="1:13" outlineLevel="1" x14ac:dyDescent="0.2">
      <c r="A460" s="170">
        <v>42339</v>
      </c>
      <c r="B460" s="154">
        <v>162722.72700000001</v>
      </c>
      <c r="C460" s="154">
        <v>157932.182</v>
      </c>
      <c r="D460" s="155">
        <f>B460-C460</f>
        <v>4790.5450000000128</v>
      </c>
      <c r="E460" s="164">
        <f t="shared" si="83"/>
        <v>0.95583140859800164</v>
      </c>
      <c r="F460" s="155">
        <f t="shared" si="82"/>
        <v>3241.0799999999872</v>
      </c>
      <c r="G460" s="155">
        <v>509223.04399999999</v>
      </c>
      <c r="H460" s="8"/>
      <c r="I460" s="1" t="s">
        <v>118</v>
      </c>
      <c r="J460" s="1" t="s">
        <v>119</v>
      </c>
      <c r="K460" s="1" t="s">
        <v>113</v>
      </c>
      <c r="M460" s="8"/>
    </row>
    <row r="461" spans="1:13" x14ac:dyDescent="0.2">
      <c r="A461" s="151" t="s">
        <v>128</v>
      </c>
      <c r="B461" s="152">
        <f>SUM(B449:B460)</f>
        <v>1565078.2860000001</v>
      </c>
      <c r="C461" s="152">
        <f>SUM(C449:C460)</f>
        <v>1615227.6490000002</v>
      </c>
      <c r="D461" s="152">
        <f>SUM(D449:D460)</f>
        <v>-50149.362999999954</v>
      </c>
      <c r="E461" s="163">
        <f>(D461/G448*100)</f>
        <v>-9.6008398504033376</v>
      </c>
      <c r="F461" s="152">
        <f>SUM(F449:F460)</f>
        <v>37028.905999999959</v>
      </c>
      <c r="G461" s="153">
        <f>INDEX($G$449:$G$460,COUNTA($G$449:$G$460))</f>
        <v>509223.04399999999</v>
      </c>
    </row>
    <row r="462" spans="1:13" outlineLevel="1" x14ac:dyDescent="0.2">
      <c r="A462" s="170">
        <v>42370</v>
      </c>
      <c r="B462" s="154">
        <v>124047.951</v>
      </c>
      <c r="C462" s="154">
        <v>133569.807</v>
      </c>
      <c r="D462" s="155">
        <f t="shared" ref="D462:D468" si="84">B462-C462</f>
        <v>-9521.8559999999998</v>
      </c>
      <c r="E462" s="164">
        <f>IF(G461="","",(D462/G461)*100)</f>
        <v>-1.8698792429354394</v>
      </c>
      <c r="F462" s="155">
        <f>IF(G462="",0,(G462-G461-D462))</f>
        <v>3162.0180000000109</v>
      </c>
      <c r="G462" s="155">
        <v>502863.20600000001</v>
      </c>
      <c r="H462" s="8"/>
      <c r="I462" s="1" t="s">
        <v>118</v>
      </c>
      <c r="J462" s="1" t="s">
        <v>119</v>
      </c>
      <c r="K462" s="1" t="s">
        <v>113</v>
      </c>
      <c r="M462" s="8"/>
    </row>
    <row r="463" spans="1:13" outlineLevel="1" x14ac:dyDescent="0.2">
      <c r="A463" s="170">
        <v>42401</v>
      </c>
      <c r="B463" s="154">
        <v>125242.071</v>
      </c>
      <c r="C463" s="154">
        <v>131976.57699999999</v>
      </c>
      <c r="D463" s="155">
        <f t="shared" si="84"/>
        <v>-6734.5059999999939</v>
      </c>
      <c r="E463" s="164">
        <f>IF(G462="",0,(D463/G462)*100)</f>
        <v>-1.3392322046326042</v>
      </c>
      <c r="F463" s="155">
        <f t="shared" ref="F463:F473" si="85">IF(G463="",0,(G463-G462-D463))</f>
        <v>3162.3250000000116</v>
      </c>
      <c r="G463" s="155">
        <v>499291.02500000002</v>
      </c>
      <c r="H463" s="8"/>
      <c r="I463" s="1" t="s">
        <v>118</v>
      </c>
      <c r="J463" s="1" t="s">
        <v>119</v>
      </c>
      <c r="K463" s="1" t="s">
        <v>113</v>
      </c>
      <c r="M463" s="8"/>
    </row>
    <row r="464" spans="1:13" outlineLevel="1" x14ac:dyDescent="0.2">
      <c r="A464" s="170">
        <v>42430</v>
      </c>
      <c r="B464" s="154">
        <v>133702.823</v>
      </c>
      <c r="C464" s="154">
        <v>138887.29999999999</v>
      </c>
      <c r="D464" s="155">
        <f t="shared" si="84"/>
        <v>-5184.4769999999844</v>
      </c>
      <c r="E464" s="164">
        <f t="shared" ref="E464:E473" si="86">IF(G463="",0,(D464/G463)*100)</f>
        <v>-1.0383677535561517</v>
      </c>
      <c r="F464" s="155">
        <f t="shared" si="85"/>
        <v>3016.3819999999541</v>
      </c>
      <c r="G464" s="155">
        <v>497122.93</v>
      </c>
      <c r="H464" s="8"/>
      <c r="I464" s="1" t="s">
        <v>118</v>
      </c>
      <c r="J464" s="1" t="s">
        <v>119</v>
      </c>
      <c r="K464" s="1" t="s">
        <v>113</v>
      </c>
      <c r="M464" s="8"/>
    </row>
    <row r="465" spans="1:13" outlineLevel="1" x14ac:dyDescent="0.2">
      <c r="A465" s="170">
        <v>42461</v>
      </c>
      <c r="B465" s="154">
        <v>124176.999</v>
      </c>
      <c r="C465" s="154">
        <v>130481.643</v>
      </c>
      <c r="D465" s="155">
        <f t="shared" si="84"/>
        <v>-6304.6440000000002</v>
      </c>
      <c r="E465" s="164">
        <f t="shared" si="86"/>
        <v>-1.268226351980988</v>
      </c>
      <c r="F465" s="155">
        <f t="shared" si="85"/>
        <v>3186.9549999999872</v>
      </c>
      <c r="G465" s="155">
        <v>494005.24099999998</v>
      </c>
      <c r="H465" s="8"/>
      <c r="I465" s="1" t="s">
        <v>118</v>
      </c>
      <c r="J465" s="1" t="s">
        <v>119</v>
      </c>
      <c r="K465" s="1" t="s">
        <v>113</v>
      </c>
      <c r="M465" s="8"/>
    </row>
    <row r="466" spans="1:13" outlineLevel="1" x14ac:dyDescent="0.2">
      <c r="A466" s="170">
        <v>42491</v>
      </c>
      <c r="B466" s="154">
        <v>131254.709</v>
      </c>
      <c r="C466" s="154">
        <v>135432.535</v>
      </c>
      <c r="D466" s="155">
        <f t="shared" si="84"/>
        <v>-4177.8260000000009</v>
      </c>
      <c r="E466" s="164">
        <f t="shared" si="86"/>
        <v>-0.84570479283639854</v>
      </c>
      <c r="F466" s="155">
        <f t="shared" si="85"/>
        <v>3066.1940000000177</v>
      </c>
      <c r="G466" s="155">
        <v>492893.609</v>
      </c>
      <c r="H466" s="8"/>
      <c r="I466" s="1" t="s">
        <v>118</v>
      </c>
      <c r="J466" s="1" t="s">
        <v>119</v>
      </c>
      <c r="K466" s="1" t="s">
        <v>113</v>
      </c>
      <c r="M466" s="8"/>
    </row>
    <row r="467" spans="1:13" outlineLevel="1" x14ac:dyDescent="0.2">
      <c r="A467" s="170">
        <v>42522</v>
      </c>
      <c r="B467" s="154">
        <v>130912.75599999999</v>
      </c>
      <c r="C467" s="154">
        <v>133701.78200000001</v>
      </c>
      <c r="D467" s="155">
        <f t="shared" si="84"/>
        <v>-2789.0260000000126</v>
      </c>
      <c r="E467" s="164">
        <f t="shared" si="86"/>
        <v>-0.56584746668930985</v>
      </c>
      <c r="F467" s="155">
        <f t="shared" si="85"/>
        <v>3151.1570000000065</v>
      </c>
      <c r="G467" s="155">
        <v>493255.74</v>
      </c>
      <c r="H467" s="8"/>
      <c r="I467" s="1" t="s">
        <v>118</v>
      </c>
      <c r="J467" s="1" t="s">
        <v>119</v>
      </c>
      <c r="K467" s="1" t="s">
        <v>113</v>
      </c>
      <c r="M467" s="8"/>
    </row>
    <row r="468" spans="1:13" outlineLevel="1" x14ac:dyDescent="0.2">
      <c r="A468" s="170">
        <v>42552</v>
      </c>
      <c r="B468" s="154">
        <v>130682.166</v>
      </c>
      <c r="C468" s="154">
        <v>131593.448</v>
      </c>
      <c r="D468" s="155">
        <f t="shared" si="84"/>
        <v>-911.28200000000652</v>
      </c>
      <c r="E468" s="164">
        <f t="shared" si="86"/>
        <v>-0.1847483822489337</v>
      </c>
      <c r="F468" s="155">
        <f t="shared" si="85"/>
        <v>3234.3470000000088</v>
      </c>
      <c r="G468" s="155">
        <v>495578.80499999999</v>
      </c>
      <c r="H468" s="8"/>
      <c r="I468" s="1" t="s">
        <v>118</v>
      </c>
      <c r="J468" s="1" t="s">
        <v>119</v>
      </c>
      <c r="K468" s="1" t="s">
        <v>113</v>
      </c>
      <c r="M468" s="8"/>
    </row>
    <row r="469" spans="1:13" outlineLevel="1" x14ac:dyDescent="0.2">
      <c r="A469" s="170">
        <v>42583</v>
      </c>
      <c r="B469" s="154">
        <v>136900.742</v>
      </c>
      <c r="C469" s="154">
        <v>140417.03099999999</v>
      </c>
      <c r="D469" s="155">
        <f>B469-C469</f>
        <v>-3516.2889999999898</v>
      </c>
      <c r="E469" s="164">
        <f t="shared" si="86"/>
        <v>-0.70953175650843048</v>
      </c>
      <c r="F469" s="155">
        <f>IF(G469="",0,(G469-G468-D469))</f>
        <v>3317.8779999999679</v>
      </c>
      <c r="G469" s="155">
        <v>495380.39399999997</v>
      </c>
      <c r="H469" s="8"/>
      <c r="I469" s="1" t="s">
        <v>118</v>
      </c>
      <c r="J469" s="1" t="s">
        <v>119</v>
      </c>
      <c r="K469" s="1" t="s">
        <v>113</v>
      </c>
      <c r="M469" s="8"/>
    </row>
    <row r="470" spans="1:13" outlineLevel="1" x14ac:dyDescent="0.2">
      <c r="A470" s="170">
        <v>42614</v>
      </c>
      <c r="B470" s="154">
        <v>120813.709</v>
      </c>
      <c r="C470" s="154">
        <v>122727.364</v>
      </c>
      <c r="D470" s="155">
        <f>B470-C470</f>
        <v>-1913.6549999999988</v>
      </c>
      <c r="E470" s="164">
        <f>IF(G469="",0,(D470/G469)*100)</f>
        <v>-0.38630010859896868</v>
      </c>
      <c r="F470" s="155">
        <f>IF(G470="",0,(G470-G469-D470))</f>
        <v>3255.652000000031</v>
      </c>
      <c r="G470" s="155">
        <v>496722.391</v>
      </c>
      <c r="H470" s="8"/>
      <c r="I470" s="1" t="s">
        <v>118</v>
      </c>
      <c r="J470" s="1" t="s">
        <v>119</v>
      </c>
      <c r="K470" s="1" t="s">
        <v>113</v>
      </c>
      <c r="M470" s="8"/>
    </row>
    <row r="471" spans="1:13" outlineLevel="1" x14ac:dyDescent="0.2">
      <c r="A471" s="170">
        <v>42644</v>
      </c>
      <c r="B471" s="154">
        <v>134695.326</v>
      </c>
      <c r="C471" s="154">
        <v>136465.78200000001</v>
      </c>
      <c r="D471" s="155">
        <f>B471-C471</f>
        <v>-1770.4560000000056</v>
      </c>
      <c r="E471" s="164">
        <f t="shared" si="86"/>
        <v>-0.35642766101921214</v>
      </c>
      <c r="F471" s="155">
        <f t="shared" si="85"/>
        <v>3136.1780000000144</v>
      </c>
      <c r="G471" s="155">
        <v>498088.11300000001</v>
      </c>
      <c r="H471" s="8"/>
      <c r="I471" s="1" t="s">
        <v>118</v>
      </c>
      <c r="J471" s="1" t="s">
        <v>119</v>
      </c>
      <c r="K471" s="1" t="s">
        <v>113</v>
      </c>
      <c r="M471" s="8"/>
    </row>
    <row r="472" spans="1:13" outlineLevel="1" x14ac:dyDescent="0.2">
      <c r="A472" s="170">
        <v>42675</v>
      </c>
      <c r="B472" s="154">
        <v>140367.057</v>
      </c>
      <c r="C472" s="154">
        <v>137766.77799999999</v>
      </c>
      <c r="D472" s="155">
        <f>B472-C472</f>
        <v>2600.2790000000095</v>
      </c>
      <c r="E472" s="164">
        <f t="shared" si="86"/>
        <v>0.52205200889827497</v>
      </c>
      <c r="F472" s="155">
        <f t="shared" si="85"/>
        <v>3121.4909999999509</v>
      </c>
      <c r="G472" s="155">
        <v>503809.88299999997</v>
      </c>
      <c r="H472" s="8"/>
      <c r="I472" s="1" t="s">
        <v>118</v>
      </c>
      <c r="J472" s="1" t="s">
        <v>119</v>
      </c>
      <c r="K472" s="1" t="s">
        <v>113</v>
      </c>
      <c r="M472" s="8"/>
    </row>
    <row r="473" spans="1:13" outlineLevel="1" x14ac:dyDescent="0.2">
      <c r="A473" s="170">
        <v>42705</v>
      </c>
      <c r="B473" s="154">
        <v>165603.90900000001</v>
      </c>
      <c r="C473" s="154">
        <v>156602.717</v>
      </c>
      <c r="D473" s="155">
        <f>B473-C473</f>
        <v>9001.19200000001</v>
      </c>
      <c r="E473" s="164">
        <f t="shared" si="86"/>
        <v>1.786624737569908</v>
      </c>
      <c r="F473" s="155">
        <f t="shared" si="85"/>
        <v>3144.3550000000105</v>
      </c>
      <c r="G473" s="155">
        <v>515955.43</v>
      </c>
      <c r="H473" s="8"/>
      <c r="I473" s="1" t="s">
        <v>118</v>
      </c>
      <c r="J473" s="1" t="s">
        <v>119</v>
      </c>
      <c r="K473" s="1" t="s">
        <v>113</v>
      </c>
      <c r="M473" s="8"/>
    </row>
    <row r="474" spans="1:13" x14ac:dyDescent="0.2">
      <c r="A474" s="151" t="s">
        <v>129</v>
      </c>
      <c r="B474" s="152">
        <f>SUM(B462:B473)</f>
        <v>1598400.2179999999</v>
      </c>
      <c r="C474" s="152">
        <f>SUM(C462:C473)</f>
        <v>1629622.7639999997</v>
      </c>
      <c r="D474" s="152">
        <f>SUM(D462:D473)</f>
        <v>-31222.545999999973</v>
      </c>
      <c r="E474" s="163">
        <f>(D474/G461*100)</f>
        <v>-6.1314086956363223</v>
      </c>
      <c r="F474" s="152">
        <f>SUM(F462:F473)</f>
        <v>37954.931999999972</v>
      </c>
      <c r="G474" s="153">
        <f>INDEX($G$462:$G$473,COUNTA($G$462:$G$473))</f>
        <v>515955.43</v>
      </c>
    </row>
    <row r="475" spans="1:13" outlineLevel="1" x14ac:dyDescent="0.2">
      <c r="A475" s="170">
        <v>42736</v>
      </c>
      <c r="B475" s="154">
        <v>136975.11600000001</v>
      </c>
      <c r="C475" s="154">
        <v>145690.802</v>
      </c>
      <c r="D475" s="155">
        <f t="shared" ref="D475:D480" si="87">B475-C475</f>
        <v>-8715.685999999987</v>
      </c>
      <c r="E475" s="164">
        <f>IF(G474="","",(D475/G474)*100)</f>
        <v>-1.6892323431890204</v>
      </c>
      <c r="F475" s="155">
        <f>IF(G475="",0,(G475-G474-D475))</f>
        <v>3380.6830000000191</v>
      </c>
      <c r="G475" s="155">
        <v>510620.42700000003</v>
      </c>
      <c r="H475" s="8"/>
      <c r="I475" s="1" t="s">
        <v>118</v>
      </c>
      <c r="J475" s="1" t="s">
        <v>119</v>
      </c>
      <c r="K475" s="1" t="s">
        <v>113</v>
      </c>
      <c r="M475" s="8"/>
    </row>
    <row r="476" spans="1:13" outlineLevel="1" x14ac:dyDescent="0.2">
      <c r="A476" s="170">
        <v>42767</v>
      </c>
      <c r="B476" s="154">
        <v>121767.379</v>
      </c>
      <c r="C476" s="154">
        <v>122254.363</v>
      </c>
      <c r="D476" s="155">
        <f t="shared" si="87"/>
        <v>-486.98399999999674</v>
      </c>
      <c r="E476" s="164">
        <f>IF(G475="",0,(D476/G475)*100)</f>
        <v>-9.5371037712127543E-2</v>
      </c>
      <c r="F476" s="155">
        <f t="shared" ref="F476:F481" si="88">IF(G476="",0,(G476-G475-D476))</f>
        <v>2906.4569999999949</v>
      </c>
      <c r="G476" s="155">
        <v>513039.9</v>
      </c>
      <c r="H476" s="8"/>
      <c r="I476" s="1" t="s">
        <v>118</v>
      </c>
      <c r="J476" s="1" t="s">
        <v>119</v>
      </c>
      <c r="K476" s="1" t="s">
        <v>113</v>
      </c>
      <c r="M476" s="8"/>
    </row>
    <row r="477" spans="1:13" outlineLevel="1" x14ac:dyDescent="0.2">
      <c r="A477" s="170">
        <v>42795</v>
      </c>
      <c r="B477" s="154">
        <v>149956.70300000001</v>
      </c>
      <c r="C477" s="154">
        <v>153499.56</v>
      </c>
      <c r="D477" s="155">
        <f t="shared" si="87"/>
        <v>-3542.8569999999891</v>
      </c>
      <c r="E477" s="164">
        <f t="shared" ref="E477:E482" si="89">IF(G476="",0,(D477/G476)*100)</f>
        <v>-0.69056168925652539</v>
      </c>
      <c r="F477" s="155">
        <f t="shared" si="88"/>
        <v>2907.8319999999658</v>
      </c>
      <c r="G477" s="155">
        <v>512404.875</v>
      </c>
      <c r="H477" s="8"/>
      <c r="I477" s="1" t="s">
        <v>118</v>
      </c>
      <c r="J477" s="1" t="s">
        <v>119</v>
      </c>
      <c r="K477" s="1" t="s">
        <v>113</v>
      </c>
      <c r="M477" s="8"/>
    </row>
    <row r="478" spans="1:13" outlineLevel="1" x14ac:dyDescent="0.2">
      <c r="A478" s="170">
        <v>42826</v>
      </c>
      <c r="B478" s="154">
        <v>128155.815</v>
      </c>
      <c r="C478" s="154">
        <v>128646.984</v>
      </c>
      <c r="D478" s="155">
        <f t="shared" si="87"/>
        <v>-491.16899999999441</v>
      </c>
      <c r="E478" s="164">
        <f t="shared" si="89"/>
        <v>-9.5855645401499032E-2</v>
      </c>
      <c r="F478" s="155">
        <f>IF(G478="",0,(G478-G477-D478))</f>
        <v>2929.6780000000144</v>
      </c>
      <c r="G478" s="155">
        <v>514843.38400000002</v>
      </c>
      <c r="H478" s="8"/>
      <c r="I478" s="1" t="s">
        <v>118</v>
      </c>
      <c r="J478" s="1" t="s">
        <v>119</v>
      </c>
      <c r="K478" s="1" t="s">
        <v>113</v>
      </c>
      <c r="M478" s="8"/>
    </row>
    <row r="479" spans="1:13" outlineLevel="1" x14ac:dyDescent="0.2">
      <c r="A479" s="170">
        <v>42856</v>
      </c>
      <c r="B479" s="154">
        <v>148354.685</v>
      </c>
      <c r="C479" s="154">
        <v>148182.11499999999</v>
      </c>
      <c r="D479" s="155">
        <f t="shared" si="87"/>
        <v>172.57000000000698</v>
      </c>
      <c r="E479" s="164">
        <f t="shared" si="89"/>
        <v>3.3518931263960258E-2</v>
      </c>
      <c r="F479" s="155">
        <f t="shared" si="88"/>
        <v>2566.0469999999623</v>
      </c>
      <c r="G479" s="155">
        <v>517582.00099999999</v>
      </c>
      <c r="H479" s="8"/>
      <c r="I479" s="1" t="s">
        <v>118</v>
      </c>
      <c r="J479" s="1" t="s">
        <v>119</v>
      </c>
      <c r="K479" s="1" t="s">
        <v>113</v>
      </c>
      <c r="M479" s="8"/>
    </row>
    <row r="480" spans="1:13" outlineLevel="1" x14ac:dyDescent="0.2">
      <c r="A480" s="170">
        <v>42887</v>
      </c>
      <c r="B480" s="154">
        <v>143911.87700000001</v>
      </c>
      <c r="C480" s="154">
        <v>139039.91800000001</v>
      </c>
      <c r="D480" s="155">
        <f t="shared" si="87"/>
        <v>4871.9590000000026</v>
      </c>
      <c r="E480" s="164">
        <f t="shared" si="89"/>
        <v>0.94129219922390661</v>
      </c>
      <c r="F480" s="155">
        <f t="shared" si="88"/>
        <v>2920.3329999999551</v>
      </c>
      <c r="G480" s="155">
        <v>525374.29299999995</v>
      </c>
      <c r="H480" s="8"/>
      <c r="I480" s="1" t="s">
        <v>118</v>
      </c>
      <c r="J480" s="1" t="s">
        <v>119</v>
      </c>
      <c r="K480" s="1" t="s">
        <v>113</v>
      </c>
      <c r="M480" s="8"/>
    </row>
    <row r="481" spans="1:13" outlineLevel="1" x14ac:dyDescent="0.2">
      <c r="A481" s="170">
        <v>42917</v>
      </c>
      <c r="B481" s="154">
        <v>144541.56700000001</v>
      </c>
      <c r="C481" s="154">
        <v>143437.67600000001</v>
      </c>
      <c r="D481" s="155">
        <f t="shared" ref="D481:D486" si="90">B481-C481</f>
        <v>1103.8910000000033</v>
      </c>
      <c r="E481" s="164">
        <f t="shared" si="89"/>
        <v>0.21011515308382314</v>
      </c>
      <c r="F481" s="155">
        <f t="shared" si="88"/>
        <v>2739.2200000000303</v>
      </c>
      <c r="G481" s="155">
        <v>529217.40399999998</v>
      </c>
      <c r="H481" s="8"/>
      <c r="I481" s="1" t="s">
        <v>118</v>
      </c>
      <c r="J481" s="1" t="s">
        <v>119</v>
      </c>
      <c r="K481" s="1" t="s">
        <v>113</v>
      </c>
      <c r="M481" s="8"/>
    </row>
    <row r="482" spans="1:13" outlineLevel="1" x14ac:dyDescent="0.2">
      <c r="A482" s="170">
        <v>42948</v>
      </c>
      <c r="B482" s="154">
        <v>148514.84299999999</v>
      </c>
      <c r="C482" s="154">
        <v>146869.74799999999</v>
      </c>
      <c r="D482" s="155">
        <f t="shared" si="90"/>
        <v>1645.0950000000012</v>
      </c>
      <c r="E482" s="164">
        <f t="shared" si="89"/>
        <v>0.31085428928939779</v>
      </c>
      <c r="F482" s="155">
        <f>IF(G482="",0,(G482-G481-D482))</f>
        <v>2830.896000000037</v>
      </c>
      <c r="G482" s="155">
        <v>533693.39500000002</v>
      </c>
      <c r="H482" s="8"/>
      <c r="I482" s="1" t="s">
        <v>118</v>
      </c>
      <c r="J482" s="1" t="s">
        <v>119</v>
      </c>
      <c r="K482" s="1" t="s">
        <v>113</v>
      </c>
      <c r="M482" s="8"/>
    </row>
    <row r="483" spans="1:13" outlineLevel="1" x14ac:dyDescent="0.2">
      <c r="A483" s="170">
        <v>42979</v>
      </c>
      <c r="B483" s="154">
        <v>143245.71100000001</v>
      </c>
      <c r="C483" s="154">
        <v>140080.315</v>
      </c>
      <c r="D483" s="155">
        <f t="shared" si="90"/>
        <v>3165.3960000000079</v>
      </c>
      <c r="E483" s="164">
        <f>IF(G482="",0,(D483/G482)*100)</f>
        <v>0.59311133127289462</v>
      </c>
      <c r="F483" s="155">
        <f>IF(G483="",0,(G483-G482-D483))</f>
        <v>2604.8109999999288</v>
      </c>
      <c r="G483" s="155">
        <v>539463.60199999996</v>
      </c>
      <c r="H483" s="8"/>
      <c r="I483" s="1" t="s">
        <v>118</v>
      </c>
      <c r="J483" s="1" t="s">
        <v>119</v>
      </c>
      <c r="K483" s="1" t="s">
        <v>113</v>
      </c>
      <c r="M483" s="8"/>
    </row>
    <row r="484" spans="1:13" outlineLevel="1" x14ac:dyDescent="0.2">
      <c r="A484" s="170">
        <v>43009</v>
      </c>
      <c r="B484" s="154">
        <v>143525.32699999999</v>
      </c>
      <c r="C484" s="154">
        <v>145192.93900000001</v>
      </c>
      <c r="D484" s="155">
        <f t="shared" si="90"/>
        <v>-1667.6120000000228</v>
      </c>
      <c r="E484" s="164">
        <f t="shared" ref="E484:E486" si="91">IF(G483="",0,(D484/G483)*100)</f>
        <v>-0.30912409916397343</v>
      </c>
      <c r="F484" s="155">
        <f t="shared" ref="F484:F486" si="92">IF(G484="",0,(G484-G483-D484))</f>
        <v>2491.7140000000945</v>
      </c>
      <c r="G484" s="155">
        <v>540287.70400000003</v>
      </c>
      <c r="H484" s="8"/>
      <c r="I484" s="1" t="s">
        <v>118</v>
      </c>
      <c r="J484" s="1" t="s">
        <v>119</v>
      </c>
      <c r="K484" s="1" t="s">
        <v>113</v>
      </c>
      <c r="M484" s="8"/>
    </row>
    <row r="485" spans="1:13" outlineLevel="1" x14ac:dyDescent="0.2">
      <c r="A485" s="170">
        <v>43040</v>
      </c>
      <c r="B485" s="154">
        <v>146576.58900000001</v>
      </c>
      <c r="C485" s="154">
        <v>142814.87899999999</v>
      </c>
      <c r="D485" s="155">
        <f t="shared" si="90"/>
        <v>3761.710000000021</v>
      </c>
      <c r="E485" s="164">
        <f t="shared" si="91"/>
        <v>0.69624201553178799</v>
      </c>
      <c r="F485" s="155">
        <f t="shared" si="92"/>
        <v>2437.9130000000005</v>
      </c>
      <c r="G485" s="155">
        <v>546487.32700000005</v>
      </c>
      <c r="H485" s="8"/>
      <c r="I485" s="1" t="s">
        <v>118</v>
      </c>
      <c r="J485" s="1" t="s">
        <v>119</v>
      </c>
      <c r="K485" s="1" t="s">
        <v>113</v>
      </c>
      <c r="M485" s="8"/>
    </row>
    <row r="486" spans="1:13" outlineLevel="1" x14ac:dyDescent="0.2">
      <c r="A486" s="170">
        <v>43070</v>
      </c>
      <c r="B486" s="154">
        <v>173050.86300000001</v>
      </c>
      <c r="C486" s="154">
        <v>158092.37700000001</v>
      </c>
      <c r="D486" s="155">
        <f t="shared" si="90"/>
        <v>14958.486000000004</v>
      </c>
      <c r="E486" s="164">
        <f t="shared" si="91"/>
        <v>2.7372063835617553</v>
      </c>
      <c r="F486" s="155">
        <f t="shared" si="92"/>
        <v>2295.8619999999937</v>
      </c>
      <c r="G486" s="155">
        <v>563741.67500000005</v>
      </c>
      <c r="H486" s="8"/>
      <c r="I486" s="1" t="s">
        <v>118</v>
      </c>
      <c r="J486" s="1" t="s">
        <v>119</v>
      </c>
      <c r="K486" s="1" t="s">
        <v>113</v>
      </c>
      <c r="M486" s="8"/>
    </row>
    <row r="487" spans="1:13" x14ac:dyDescent="0.2">
      <c r="A487" s="151" t="s">
        <v>131</v>
      </c>
      <c r="B487" s="152">
        <f>SUM(B475:B486)</f>
        <v>1728576.4750000001</v>
      </c>
      <c r="C487" s="152">
        <f>SUM(C475:C486)</f>
        <v>1713801.676</v>
      </c>
      <c r="D487" s="152">
        <f>SUM(D475:D486)</f>
        <v>14774.799000000057</v>
      </c>
      <c r="E487" s="163">
        <f>(D487/G474*100)</f>
        <v>2.863580484073994</v>
      </c>
      <c r="F487" s="152">
        <f>SUM(F475:F486)</f>
        <v>33011.445999999996</v>
      </c>
      <c r="G487" s="153">
        <f>INDEX($G$475:$G$486,COUNTA($G$475:$G$486))</f>
        <v>563741.67500000005</v>
      </c>
    </row>
    <row r="488" spans="1:13" outlineLevel="1" x14ac:dyDescent="0.2">
      <c r="A488" s="170">
        <v>43101</v>
      </c>
      <c r="B488" s="154">
        <v>150970.71400000001</v>
      </c>
      <c r="C488" s="154">
        <v>155945.495</v>
      </c>
      <c r="D488" s="155">
        <f t="shared" ref="D488:D497" si="93">B488-C488</f>
        <v>-4974.7809999999881</v>
      </c>
      <c r="E488" s="164">
        <f>IF(G487="","",(D488/G487)*100)</f>
        <v>-0.88245755469470788</v>
      </c>
      <c r="F488" s="155">
        <f>IF(G488="",0,(G488-G487-D488))</f>
        <v>2300.134999999922</v>
      </c>
      <c r="G488" s="155">
        <v>561067.02899999998</v>
      </c>
      <c r="H488" s="8"/>
      <c r="I488" s="1" t="s">
        <v>118</v>
      </c>
      <c r="J488" s="1" t="s">
        <v>119</v>
      </c>
      <c r="K488" s="1" t="s">
        <v>113</v>
      </c>
      <c r="M488" s="8"/>
    </row>
    <row r="489" spans="1:13" outlineLevel="1" x14ac:dyDescent="0.2">
      <c r="A489" s="170">
        <v>43132</v>
      </c>
      <c r="B489" s="154">
        <v>132843.05499999999</v>
      </c>
      <c r="C489" s="154">
        <v>133429.272</v>
      </c>
      <c r="D489" s="155">
        <f t="shared" si="93"/>
        <v>-586.21700000000419</v>
      </c>
      <c r="E489" s="164">
        <f>IF(G488="",0,(D489/G488)*100)</f>
        <v>-0.10448252520644982</v>
      </c>
      <c r="F489" s="155">
        <f t="shared" ref="F489:F490" si="94">IF(G489="",0,(G489-G488-D489))</f>
        <v>2245.5380000000005</v>
      </c>
      <c r="G489" s="155">
        <v>562726.35</v>
      </c>
      <c r="H489" s="8"/>
      <c r="I489" s="1" t="s">
        <v>118</v>
      </c>
      <c r="J489" s="1" t="s">
        <v>119</v>
      </c>
      <c r="K489" s="1" t="s">
        <v>113</v>
      </c>
      <c r="M489" s="8"/>
    </row>
    <row r="490" spans="1:13" outlineLevel="1" x14ac:dyDescent="0.2">
      <c r="A490" s="170">
        <v>43160</v>
      </c>
      <c r="B490" s="154">
        <v>150509.038</v>
      </c>
      <c r="C490" s="154">
        <v>147656.64199999999</v>
      </c>
      <c r="D490" s="155">
        <f t="shared" si="93"/>
        <v>2852.3960000000079</v>
      </c>
      <c r="E490" s="164">
        <f t="shared" ref="E490:E495" si="95">IF(G489="",0,(D490/G489)*100)</f>
        <v>0.50688865022937135</v>
      </c>
      <c r="F490" s="155">
        <f t="shared" si="94"/>
        <v>2237.0680000000284</v>
      </c>
      <c r="G490" s="155">
        <v>567815.81400000001</v>
      </c>
      <c r="H490" s="8"/>
      <c r="I490" s="1" t="s">
        <v>118</v>
      </c>
      <c r="J490" s="1" t="s">
        <v>119</v>
      </c>
      <c r="K490" s="1" t="s">
        <v>113</v>
      </c>
      <c r="M490" s="8"/>
    </row>
    <row r="491" spans="1:13" outlineLevel="1" x14ac:dyDescent="0.2">
      <c r="A491" s="170">
        <v>43191</v>
      </c>
      <c r="B491" s="154">
        <v>150493.29399999999</v>
      </c>
      <c r="C491" s="154">
        <v>150428.03400000001</v>
      </c>
      <c r="D491" s="155">
        <f t="shared" si="93"/>
        <v>65.259999999980209</v>
      </c>
      <c r="E491" s="164">
        <f t="shared" si="95"/>
        <v>1.1493163520799758E-2</v>
      </c>
      <c r="F491" s="155">
        <f>IF(G491="",0,(G491-G490-D491))</f>
        <v>2150.0499999999593</v>
      </c>
      <c r="G491" s="155">
        <v>570031.12399999995</v>
      </c>
      <c r="H491" s="8"/>
      <c r="I491" s="1" t="s">
        <v>118</v>
      </c>
      <c r="J491" s="1" t="s">
        <v>119</v>
      </c>
      <c r="K491" s="1" t="s">
        <v>113</v>
      </c>
      <c r="M491" s="8"/>
    </row>
    <row r="492" spans="1:13" outlineLevel="1" x14ac:dyDescent="0.2">
      <c r="A492" s="170">
        <v>43221</v>
      </c>
      <c r="B492" s="154">
        <v>150484.473</v>
      </c>
      <c r="C492" s="154">
        <v>149239.42600000001</v>
      </c>
      <c r="D492" s="155">
        <f t="shared" si="93"/>
        <v>1245.0469999999914</v>
      </c>
      <c r="E492" s="164">
        <f t="shared" si="95"/>
        <v>0.21841737189073057</v>
      </c>
      <c r="F492" s="155">
        <f t="shared" ref="F492:F495" si="96">IF(G492="",0,(G492-G491-D492))</f>
        <v>2172.7700000000477</v>
      </c>
      <c r="G492" s="155">
        <v>573448.94099999999</v>
      </c>
      <c r="H492" s="8"/>
      <c r="I492" s="1" t="s">
        <v>118</v>
      </c>
      <c r="J492" s="1" t="s">
        <v>119</v>
      </c>
      <c r="K492" s="1" t="s">
        <v>113</v>
      </c>
      <c r="M492" s="8"/>
    </row>
    <row r="493" spans="1:13" outlineLevel="1" x14ac:dyDescent="0.2">
      <c r="A493" s="170">
        <v>43252</v>
      </c>
      <c r="B493" s="154">
        <v>148835.76300000001</v>
      </c>
      <c r="C493" s="154">
        <v>144933.24</v>
      </c>
      <c r="D493" s="155">
        <f t="shared" si="93"/>
        <v>3902.5230000000156</v>
      </c>
      <c r="E493" s="164">
        <f t="shared" si="95"/>
        <v>0.68053539225212656</v>
      </c>
      <c r="F493" s="155">
        <f t="shared" si="96"/>
        <v>2176.7700000000477</v>
      </c>
      <c r="G493" s="155">
        <v>579528.23400000005</v>
      </c>
      <c r="H493" s="8"/>
      <c r="I493" s="1" t="s">
        <v>118</v>
      </c>
      <c r="J493" s="1" t="s">
        <v>119</v>
      </c>
      <c r="K493" s="1" t="s">
        <v>113</v>
      </c>
      <c r="M493" s="8"/>
    </row>
    <row r="494" spans="1:13" outlineLevel="1" x14ac:dyDescent="0.2">
      <c r="A494" s="170">
        <v>43282</v>
      </c>
      <c r="B494" s="154">
        <v>156703.09700000001</v>
      </c>
      <c r="C494" s="154">
        <v>154635.807</v>
      </c>
      <c r="D494" s="155">
        <f t="shared" si="93"/>
        <v>2067.2900000000081</v>
      </c>
      <c r="E494" s="164">
        <f t="shared" si="95"/>
        <v>0.35671946226523416</v>
      </c>
      <c r="F494" s="155">
        <f t="shared" si="96"/>
        <v>2201.6759999998903</v>
      </c>
      <c r="G494" s="155">
        <v>583797.19999999995</v>
      </c>
      <c r="H494" s="8"/>
      <c r="I494" s="1" t="s">
        <v>118</v>
      </c>
      <c r="J494" s="1" t="s">
        <v>119</v>
      </c>
      <c r="K494" s="1" t="s">
        <v>113</v>
      </c>
      <c r="M494" s="8"/>
    </row>
    <row r="495" spans="1:13" outlineLevel="1" x14ac:dyDescent="0.2">
      <c r="A495" s="170">
        <v>43313</v>
      </c>
      <c r="B495" s="154">
        <v>164945.10500000001</v>
      </c>
      <c r="C495" s="154">
        <v>160540.022</v>
      </c>
      <c r="D495" s="155">
        <f t="shared" si="93"/>
        <v>4405.0830000000133</v>
      </c>
      <c r="E495" s="164">
        <f t="shared" si="95"/>
        <v>0.75455706193863448</v>
      </c>
      <c r="F495" s="155">
        <f t="shared" si="96"/>
        <v>2213.3770000000659</v>
      </c>
      <c r="G495" s="155">
        <v>590415.66</v>
      </c>
      <c r="H495" s="8"/>
      <c r="I495" s="1" t="s">
        <v>118</v>
      </c>
      <c r="J495" s="1" t="s">
        <v>119</v>
      </c>
      <c r="K495" s="1" t="s">
        <v>113</v>
      </c>
      <c r="M495" s="8"/>
    </row>
    <row r="496" spans="1:13" outlineLevel="1" x14ac:dyDescent="0.2">
      <c r="A496" s="170">
        <v>43344</v>
      </c>
      <c r="B496" s="154">
        <v>152127.84</v>
      </c>
      <c r="C496" s="154">
        <v>145348.6</v>
      </c>
      <c r="D496" s="155">
        <f t="shared" si="93"/>
        <v>6779.2399999999907</v>
      </c>
      <c r="E496" s="164">
        <f>IF(G495="",0,(D496/G495)*100)</f>
        <v>1.1482148017550873</v>
      </c>
      <c r="F496" s="155">
        <v>2168.9920000000002</v>
      </c>
      <c r="G496" s="155">
        <v>599363.90399999998</v>
      </c>
      <c r="H496" s="8"/>
      <c r="I496" s="1" t="s">
        <v>118</v>
      </c>
      <c r="J496" s="1" t="s">
        <v>119</v>
      </c>
      <c r="K496" s="1" t="s">
        <v>113</v>
      </c>
      <c r="M496" s="8"/>
    </row>
    <row r="497" spans="1:13" outlineLevel="1" x14ac:dyDescent="0.2">
      <c r="A497" s="170">
        <v>43374</v>
      </c>
      <c r="B497" s="154">
        <v>161081.54300000001</v>
      </c>
      <c r="C497" s="154">
        <v>163216.26800000001</v>
      </c>
      <c r="D497" s="155">
        <f t="shared" si="93"/>
        <v>-2134.7250000000058</v>
      </c>
      <c r="E497" s="164">
        <f t="shared" ref="E497:E499" si="97">IF(G496="",0,(D497/G496)*100)</f>
        <v>-0.35616509198391866</v>
      </c>
      <c r="F497" s="155">
        <v>2279.6750000000002</v>
      </c>
      <c r="G497" s="155">
        <v>599508.86699999997</v>
      </c>
      <c r="H497" s="8"/>
      <c r="I497" s="1" t="s">
        <v>118</v>
      </c>
      <c r="J497" s="1" t="s">
        <v>119</v>
      </c>
      <c r="K497" s="1" t="s">
        <v>113</v>
      </c>
      <c r="M497" s="8"/>
    </row>
    <row r="498" spans="1:13" outlineLevel="1" x14ac:dyDescent="0.2">
      <c r="A498" s="170">
        <v>43405</v>
      </c>
      <c r="B498" s="154">
        <v>161014.519</v>
      </c>
      <c r="C498" s="154">
        <v>159064.41</v>
      </c>
      <c r="D498" s="155">
        <v>1950.1089999999999</v>
      </c>
      <c r="E498" s="164">
        <f t="shared" si="97"/>
        <v>0.32528442986315331</v>
      </c>
      <c r="F498" s="155">
        <v>2265.3040000000001</v>
      </c>
      <c r="G498" s="155">
        <v>603724.29</v>
      </c>
      <c r="H498" s="8"/>
      <c r="I498" s="1" t="s">
        <v>118</v>
      </c>
      <c r="J498" s="1" t="s">
        <v>119</v>
      </c>
      <c r="K498" s="1" t="s">
        <v>113</v>
      </c>
      <c r="M498" s="8"/>
    </row>
    <row r="499" spans="1:13" outlineLevel="1" x14ac:dyDescent="0.2">
      <c r="A499" s="170">
        <v>43435</v>
      </c>
      <c r="B499" s="154">
        <v>185920.413</v>
      </c>
      <c r="C499" s="154">
        <v>173700.56200000001</v>
      </c>
      <c r="D499" s="155">
        <f>B499-C499</f>
        <v>12219.850999999995</v>
      </c>
      <c r="E499" s="164">
        <f t="shared" si="97"/>
        <v>2.0240780770970792</v>
      </c>
      <c r="F499" s="155">
        <v>2201.913</v>
      </c>
      <c r="G499" s="155">
        <v>618146.06299999997</v>
      </c>
      <c r="H499" s="8"/>
      <c r="I499" s="1" t="s">
        <v>118</v>
      </c>
      <c r="J499" s="1" t="s">
        <v>119</v>
      </c>
      <c r="K499" s="1" t="s">
        <v>113</v>
      </c>
      <c r="M499" s="8"/>
    </row>
    <row r="500" spans="1:13" x14ac:dyDescent="0.2">
      <c r="A500" s="151" t="s">
        <v>134</v>
      </c>
      <c r="B500" s="152">
        <f>SUM(B488:B499)</f>
        <v>1865928.8540000003</v>
      </c>
      <c r="C500" s="152">
        <f>SUM(C488:C499)</f>
        <v>1838137.7779999999</v>
      </c>
      <c r="D500" s="152">
        <f>SUM(D488:D499)</f>
        <v>27791.076000000005</v>
      </c>
      <c r="E500" s="163">
        <f>(D500/G487*100)</f>
        <v>4.9297536854978841</v>
      </c>
      <c r="F500" s="152">
        <f>SUM(F488:F499)</f>
        <v>26613.26799999996</v>
      </c>
      <c r="G500" s="153">
        <f>IFERROR(INDEX($G$488:$G$499,COUNTA($G$488:$G$499)),0)</f>
        <v>618146.06299999997</v>
      </c>
    </row>
    <row r="501" spans="1:13" outlineLevel="1" x14ac:dyDescent="0.2">
      <c r="A501" s="170">
        <v>43466</v>
      </c>
      <c r="B501" s="154">
        <v>163409.96100000001</v>
      </c>
      <c r="C501" s="154">
        <v>172815.70600000001</v>
      </c>
      <c r="D501" s="154">
        <f t="shared" ref="D501:D502" si="98">B501-C501</f>
        <v>-9405.7449999999953</v>
      </c>
      <c r="E501" s="164">
        <f t="shared" ref="E501:E502" si="99">IF(G500="","",(D501/G500)*100)</f>
        <v>-1.5216055820774508</v>
      </c>
      <c r="F501" s="154">
        <v>2261.4520000000002</v>
      </c>
      <c r="G501" s="154">
        <v>611001.78</v>
      </c>
      <c r="I501" s="1" t="s">
        <v>118</v>
      </c>
      <c r="J501" s="1" t="s">
        <v>119</v>
      </c>
      <c r="K501" s="1" t="s">
        <v>113</v>
      </c>
      <c r="L501" s="181"/>
    </row>
    <row r="502" spans="1:13" outlineLevel="1" x14ac:dyDescent="0.2">
      <c r="A502" s="170">
        <v>43497</v>
      </c>
      <c r="B502" s="154">
        <v>153362.87400000001</v>
      </c>
      <c r="C502" s="154">
        <v>156197.008</v>
      </c>
      <c r="D502" s="154">
        <f t="shared" si="98"/>
        <v>-2834.1339999999909</v>
      </c>
      <c r="E502" s="164">
        <f t="shared" si="99"/>
        <v>-0.46385036717896155</v>
      </c>
      <c r="F502" s="154">
        <v>2297.3490000000002</v>
      </c>
      <c r="G502" s="154">
        <v>610465.00600000005</v>
      </c>
      <c r="I502" s="1" t="s">
        <v>118</v>
      </c>
      <c r="J502" s="1" t="s">
        <v>119</v>
      </c>
      <c r="K502" s="1" t="s">
        <v>113</v>
      </c>
    </row>
    <row r="503" spans="1:13" outlineLevel="1" x14ac:dyDescent="0.2">
      <c r="A503" s="170">
        <v>43525</v>
      </c>
      <c r="B503" s="154">
        <v>155820.18400000001</v>
      </c>
      <c r="C503" s="154">
        <v>154253.027</v>
      </c>
      <c r="D503" s="154">
        <f t="shared" ref="D503:D512" si="100">B503-C503</f>
        <v>1567.1570000000065</v>
      </c>
      <c r="E503" s="164">
        <f t="shared" ref="E503:E512" si="101">IF(G502="","",(D503/G502)*100)</f>
        <v>0.25671528827976858</v>
      </c>
      <c r="F503" s="154">
        <v>2326.3879999999999</v>
      </c>
      <c r="G503" s="154">
        <v>614358.56099999999</v>
      </c>
      <c r="I503" s="1" t="s">
        <v>118</v>
      </c>
      <c r="J503" s="1" t="s">
        <v>119</v>
      </c>
      <c r="K503" s="1" t="s">
        <v>113</v>
      </c>
    </row>
    <row r="504" spans="1:13" outlineLevel="1" x14ac:dyDescent="0.2">
      <c r="A504" s="170">
        <v>43556</v>
      </c>
      <c r="B504" s="154">
        <v>165821.579</v>
      </c>
      <c r="C504" s="154">
        <v>168647.31099999999</v>
      </c>
      <c r="D504" s="154">
        <f t="shared" si="100"/>
        <v>-2825.7319999999891</v>
      </c>
      <c r="E504" s="164">
        <f t="shared" si="101"/>
        <v>-0.45994833951699243</v>
      </c>
      <c r="F504" s="154">
        <v>2306.3229999999999</v>
      </c>
      <c r="G504" s="154">
        <v>613839.16299999994</v>
      </c>
      <c r="I504" s="1" t="s">
        <v>118</v>
      </c>
      <c r="J504" s="1" t="s">
        <v>119</v>
      </c>
      <c r="K504" s="1" t="s">
        <v>113</v>
      </c>
    </row>
    <row r="505" spans="1:13" outlineLevel="1" x14ac:dyDescent="0.2">
      <c r="A505" s="170">
        <v>43586</v>
      </c>
      <c r="B505" s="154">
        <v>170025.74100000001</v>
      </c>
      <c r="C505" s="154">
        <v>170489.617</v>
      </c>
      <c r="D505" s="154">
        <f t="shared" si="100"/>
        <v>-463.87599999998929</v>
      </c>
      <c r="E505" s="164">
        <f t="shared" si="101"/>
        <v>-7.5569632561875058E-2</v>
      </c>
      <c r="F505" s="154">
        <v>2312.0340000000001</v>
      </c>
      <c r="G505" s="154">
        <v>615687.33200000005</v>
      </c>
      <c r="I505" s="1" t="s">
        <v>118</v>
      </c>
      <c r="J505" s="1" t="s">
        <v>119</v>
      </c>
      <c r="K505" s="1" t="s">
        <v>113</v>
      </c>
    </row>
    <row r="506" spans="1:13" outlineLevel="1" x14ac:dyDescent="0.2">
      <c r="A506" s="170">
        <v>43617</v>
      </c>
      <c r="B506" s="154">
        <v>158228.614</v>
      </c>
      <c r="C506" s="154">
        <v>155458.43599999999</v>
      </c>
      <c r="D506" s="154">
        <f t="shared" si="100"/>
        <v>2770.1780000000144</v>
      </c>
      <c r="E506" s="164">
        <f t="shared" si="101"/>
        <v>0.44993259663169649</v>
      </c>
      <c r="F506" s="154">
        <v>2315.6570000000002</v>
      </c>
      <c r="G506" s="154">
        <v>620773.17599999998</v>
      </c>
      <c r="I506" s="1" t="s">
        <v>118</v>
      </c>
      <c r="J506" s="1" t="s">
        <v>119</v>
      </c>
      <c r="K506" s="1" t="s">
        <v>113</v>
      </c>
    </row>
    <row r="507" spans="1:13" outlineLevel="1" x14ac:dyDescent="0.2">
      <c r="A507" s="170">
        <v>43647</v>
      </c>
      <c r="B507" s="154">
        <v>177499.81299999999</v>
      </c>
      <c r="C507" s="154">
        <v>179335.929</v>
      </c>
      <c r="D507" s="154">
        <f t="shared" si="100"/>
        <v>-1836.1160000000091</v>
      </c>
      <c r="E507" s="164">
        <f t="shared" si="101"/>
        <v>-0.29577888848728368</v>
      </c>
      <c r="F507" s="154">
        <v>2340.3249999999998</v>
      </c>
      <c r="G507" s="154">
        <v>621277.39800000004</v>
      </c>
      <c r="I507" s="1" t="s">
        <v>118</v>
      </c>
      <c r="J507" s="1" t="s">
        <v>119</v>
      </c>
      <c r="K507" s="1" t="s">
        <v>113</v>
      </c>
    </row>
    <row r="508" spans="1:13" outlineLevel="1" x14ac:dyDescent="0.2">
      <c r="A508" s="170">
        <v>43678</v>
      </c>
      <c r="B508" s="154">
        <v>170952.894</v>
      </c>
      <c r="C508" s="154">
        <v>169923.427</v>
      </c>
      <c r="D508" s="154">
        <f t="shared" si="100"/>
        <v>1029.4670000000042</v>
      </c>
      <c r="E508" s="164">
        <f t="shared" si="101"/>
        <v>0.16570166616619847</v>
      </c>
      <c r="F508" s="154">
        <v>2330.4810000000002</v>
      </c>
      <c r="G508" s="154">
        <v>624637.35400000005</v>
      </c>
      <c r="I508" s="1" t="s">
        <v>118</v>
      </c>
      <c r="J508" s="1" t="s">
        <v>119</v>
      </c>
      <c r="K508" s="1" t="s">
        <v>113</v>
      </c>
    </row>
    <row r="509" spans="1:13" outlineLevel="1" x14ac:dyDescent="0.2">
      <c r="A509" s="170">
        <v>43709</v>
      </c>
      <c r="B509" s="154">
        <v>185044.91500000001</v>
      </c>
      <c r="C509" s="154">
        <v>176952.378</v>
      </c>
      <c r="D509" s="154">
        <f t="shared" si="100"/>
        <v>8092.5370000000112</v>
      </c>
      <c r="E509" s="164">
        <f t="shared" si="101"/>
        <v>1.2955576460769924</v>
      </c>
      <c r="F509" s="154">
        <v>2214.41</v>
      </c>
      <c r="G509" s="154">
        <v>634944.30799999996</v>
      </c>
      <c r="I509" s="1" t="s">
        <v>118</v>
      </c>
      <c r="J509" s="1" t="s">
        <v>119</v>
      </c>
      <c r="K509" s="1" t="s">
        <v>113</v>
      </c>
    </row>
    <row r="510" spans="1:13" outlineLevel="1" x14ac:dyDescent="0.2">
      <c r="A510" s="170">
        <v>43739</v>
      </c>
      <c r="B510" s="154">
        <v>184316.49600000001</v>
      </c>
      <c r="C510" s="154">
        <v>184667.10399999999</v>
      </c>
      <c r="D510" s="154">
        <f t="shared" si="100"/>
        <v>-350.60799999997835</v>
      </c>
      <c r="E510" s="164">
        <f t="shared" si="101"/>
        <v>-5.5218701165201778E-2</v>
      </c>
      <c r="F510" s="154">
        <v>2210.6529999999998</v>
      </c>
      <c r="G510" s="154">
        <v>636804.36399999994</v>
      </c>
      <c r="I510" s="1" t="s">
        <v>118</v>
      </c>
      <c r="J510" s="1" t="s">
        <v>119</v>
      </c>
      <c r="K510" s="1" t="s">
        <v>113</v>
      </c>
    </row>
    <row r="511" spans="1:13" outlineLevel="1" x14ac:dyDescent="0.2">
      <c r="A511" s="170">
        <v>43770</v>
      </c>
      <c r="B511" s="154">
        <v>175757.99</v>
      </c>
      <c r="C511" s="154">
        <v>172708.86600000001</v>
      </c>
      <c r="D511" s="154">
        <f t="shared" si="100"/>
        <v>3049.1239999999816</v>
      </c>
      <c r="E511" s="164">
        <f t="shared" si="101"/>
        <v>0.47881644228179032</v>
      </c>
      <c r="F511" s="154">
        <v>2114.3020000000001</v>
      </c>
      <c r="G511" s="154">
        <v>641967.80500000005</v>
      </c>
      <c r="I511" s="1" t="s">
        <v>118</v>
      </c>
      <c r="J511" s="1" t="s">
        <v>119</v>
      </c>
      <c r="K511" s="1" t="s">
        <v>113</v>
      </c>
    </row>
    <row r="512" spans="1:13" outlineLevel="1" x14ac:dyDescent="0.2">
      <c r="A512" s="170">
        <v>43800</v>
      </c>
      <c r="B512" s="154">
        <v>220879.02799999999</v>
      </c>
      <c r="C512" s="154">
        <v>207281.70499999999</v>
      </c>
      <c r="D512" s="154">
        <f t="shared" si="100"/>
        <v>13597.323000000004</v>
      </c>
      <c r="E512" s="164">
        <f t="shared" si="101"/>
        <v>2.1180693009986697</v>
      </c>
      <c r="F512" s="154">
        <v>1966.3019999999999</v>
      </c>
      <c r="G512" s="154">
        <v>657531.44200000004</v>
      </c>
      <c r="I512" s="1" t="s">
        <v>118</v>
      </c>
      <c r="J512" s="1" t="s">
        <v>119</v>
      </c>
      <c r="K512" s="1" t="s">
        <v>113</v>
      </c>
    </row>
    <row r="513" spans="1:23" x14ac:dyDescent="0.2">
      <c r="A513" s="151" t="s">
        <v>136</v>
      </c>
      <c r="B513" s="152">
        <f>SUM(B501:B512)</f>
        <v>2081120.0890000002</v>
      </c>
      <c r="C513" s="152">
        <f>SUM(C501:C512)</f>
        <v>2068730.514</v>
      </c>
      <c r="D513" s="152">
        <f>SUM(D501:D512)</f>
        <v>12389.57500000007</v>
      </c>
      <c r="E513" s="163">
        <f>(D513/G500*100)</f>
        <v>2.004311883807965</v>
      </c>
      <c r="F513" s="152">
        <f>SUM(F501:F512)</f>
        <v>26995.675999999999</v>
      </c>
      <c r="G513" s="153">
        <f>IFERROR(INDEX($G$501:$G$512,COUNTA($G$501:$G$512)),0)</f>
        <v>657531.44200000004</v>
      </c>
    </row>
    <row r="514" spans="1:23" outlineLevel="1" x14ac:dyDescent="0.2">
      <c r="A514" s="170">
        <v>43831</v>
      </c>
      <c r="B514" s="154">
        <v>184815.03200000001</v>
      </c>
      <c r="C514" s="154">
        <v>194650.177</v>
      </c>
      <c r="D514" s="154">
        <f t="shared" ref="D514:D515" si="102">B514-C514</f>
        <v>-9835.1449999999895</v>
      </c>
      <c r="E514" s="164">
        <f t="shared" ref="E514:E515" si="103">IF(G513="","",(D514/G513)*100)</f>
        <v>-1.4957680153035158</v>
      </c>
      <c r="F514" s="154">
        <v>1948.7329999999999</v>
      </c>
      <c r="G514" s="154">
        <v>649645.04</v>
      </c>
      <c r="I514" s="1" t="s">
        <v>118</v>
      </c>
      <c r="J514" s="1" t="s">
        <v>119</v>
      </c>
      <c r="K514" s="1" t="s">
        <v>113</v>
      </c>
      <c r="L514" s="181"/>
    </row>
    <row r="515" spans="1:23" outlineLevel="1" x14ac:dyDescent="0.2">
      <c r="A515" s="170">
        <v>43862</v>
      </c>
      <c r="B515" s="154">
        <v>165750.44500000001</v>
      </c>
      <c r="C515" s="154">
        <v>168021.02499999999</v>
      </c>
      <c r="D515" s="154">
        <f t="shared" si="102"/>
        <v>-2270.5799999999872</v>
      </c>
      <c r="E515" s="164">
        <f t="shared" si="103"/>
        <v>-0.34951086519493585</v>
      </c>
      <c r="F515" s="154">
        <v>1855.1610000000001</v>
      </c>
      <c r="G515" s="154">
        <v>649229.63</v>
      </c>
      <c r="I515" s="1" t="s">
        <v>118</v>
      </c>
      <c r="J515" s="1" t="s">
        <v>119</v>
      </c>
      <c r="K515" s="1" t="s">
        <v>113</v>
      </c>
    </row>
    <row r="516" spans="1:23" outlineLevel="1" x14ac:dyDescent="0.2">
      <c r="A516" s="170">
        <v>43891</v>
      </c>
      <c r="B516" s="154">
        <v>186749.97200000001</v>
      </c>
      <c r="C516" s="154">
        <v>178501.00200000001</v>
      </c>
      <c r="D516" s="154">
        <f t="shared" ref="D516:D525" si="104">B516-C516</f>
        <v>8248.9700000000012</v>
      </c>
      <c r="E516" s="164">
        <f t="shared" ref="E516:E525" si="105">IF(G515="","",(D516/G515)*100)</f>
        <v>1.2705781774008067</v>
      </c>
      <c r="F516" s="154">
        <v>1804.857</v>
      </c>
      <c r="G516" s="154">
        <v>659283.46900000004</v>
      </c>
      <c r="I516" s="1" t="s">
        <v>118</v>
      </c>
      <c r="J516" s="1" t="s">
        <v>119</v>
      </c>
      <c r="K516" s="1" t="s">
        <v>113</v>
      </c>
    </row>
    <row r="517" spans="1:23" outlineLevel="1" x14ac:dyDescent="0.2">
      <c r="A517" s="170">
        <v>43922</v>
      </c>
      <c r="B517" s="154">
        <v>182787.87400000001</v>
      </c>
      <c r="C517" s="154">
        <v>158173.359</v>
      </c>
      <c r="D517" s="154">
        <f t="shared" si="104"/>
        <v>24614.515000000014</v>
      </c>
      <c r="E517" s="164">
        <f t="shared" si="105"/>
        <v>3.7335252827338841</v>
      </c>
      <c r="F517" s="154">
        <v>1777.704</v>
      </c>
      <c r="G517" s="154">
        <v>685675.70200000005</v>
      </c>
      <c r="I517" s="1" t="s">
        <v>118</v>
      </c>
      <c r="J517" s="1" t="s">
        <v>119</v>
      </c>
      <c r="K517" s="1" t="s">
        <v>113</v>
      </c>
    </row>
    <row r="518" spans="1:23" outlineLevel="1" x14ac:dyDescent="0.2">
      <c r="A518" s="170">
        <v>43952</v>
      </c>
      <c r="B518" s="154">
        <v>200808.99299999999</v>
      </c>
      <c r="C518" s="154">
        <v>170507.83199999999</v>
      </c>
      <c r="D518" s="154">
        <f t="shared" si="104"/>
        <v>30301.160999999993</v>
      </c>
      <c r="E518" s="164">
        <f t="shared" si="105"/>
        <v>4.4191679698750637</v>
      </c>
      <c r="F518" s="154">
        <v>1714.0260000000001</v>
      </c>
      <c r="G518" s="154">
        <v>717690.89899999998</v>
      </c>
      <c r="I518" s="1" t="s">
        <v>118</v>
      </c>
      <c r="J518" s="1" t="s">
        <v>119</v>
      </c>
      <c r="K518" s="1" t="s">
        <v>113</v>
      </c>
    </row>
    <row r="519" spans="1:23" outlineLevel="1" x14ac:dyDescent="0.2">
      <c r="A519" s="170">
        <v>43983</v>
      </c>
      <c r="B519" s="154">
        <v>219318.93400000001</v>
      </c>
      <c r="C519" s="154">
        <v>204883.60699999999</v>
      </c>
      <c r="D519" s="154">
        <f t="shared" si="104"/>
        <v>14435.327000000019</v>
      </c>
      <c r="E519" s="164">
        <f t="shared" si="105"/>
        <v>2.0113571204697722</v>
      </c>
      <c r="F519" s="154">
        <v>1580.424</v>
      </c>
      <c r="G519" s="154">
        <v>733706.66099999996</v>
      </c>
      <c r="I519" s="1" t="s">
        <v>118</v>
      </c>
      <c r="J519" s="1" t="s">
        <v>119</v>
      </c>
      <c r="K519" s="1" t="s">
        <v>113</v>
      </c>
    </row>
    <row r="520" spans="1:23" outlineLevel="1" x14ac:dyDescent="0.2">
      <c r="A520" s="170">
        <v>44013</v>
      </c>
      <c r="B520" s="154">
        <v>249052.24400000001</v>
      </c>
      <c r="C520" s="154">
        <v>226689.057</v>
      </c>
      <c r="D520" s="154">
        <f t="shared" si="104"/>
        <v>22363.187000000005</v>
      </c>
      <c r="E520" s="164">
        <f t="shared" si="105"/>
        <v>3.0479738277856532</v>
      </c>
      <c r="F520" s="154">
        <v>1466.039</v>
      </c>
      <c r="G520" s="154">
        <v>757535.89800000004</v>
      </c>
      <c r="I520" s="1" t="s">
        <v>118</v>
      </c>
      <c r="J520" s="1" t="s">
        <v>119</v>
      </c>
      <c r="K520" s="1" t="s">
        <v>113</v>
      </c>
    </row>
    <row r="521" spans="1:23" outlineLevel="1" x14ac:dyDescent="0.2">
      <c r="A521" s="170">
        <v>44044</v>
      </c>
      <c r="B521" s="154">
        <v>243925.64199999999</v>
      </c>
      <c r="C521" s="154">
        <v>235977.68700000001</v>
      </c>
      <c r="D521" s="154">
        <f t="shared" si="104"/>
        <v>7947.9549999999872</v>
      </c>
      <c r="E521" s="164">
        <f t="shared" si="105"/>
        <v>1.0491852625048783</v>
      </c>
      <c r="F521" s="154">
        <v>1332.4269999999999</v>
      </c>
      <c r="G521" s="154">
        <v>766816.29</v>
      </c>
      <c r="I521" s="1" t="s">
        <v>118</v>
      </c>
      <c r="J521" s="1" t="s">
        <v>119</v>
      </c>
      <c r="K521" s="1" t="s">
        <v>113</v>
      </c>
    </row>
    <row r="522" spans="1:23" outlineLevel="1" x14ac:dyDescent="0.2">
      <c r="A522" s="170">
        <v>44075</v>
      </c>
      <c r="B522" s="154"/>
      <c r="C522" s="154"/>
      <c r="D522" s="154">
        <f t="shared" si="104"/>
        <v>0</v>
      </c>
      <c r="E522" s="164">
        <f t="shared" si="105"/>
        <v>0</v>
      </c>
      <c r="F522" s="154"/>
      <c r="G522" s="154"/>
      <c r="I522" s="1" t="s">
        <v>118</v>
      </c>
      <c r="J522" s="1" t="s">
        <v>119</v>
      </c>
      <c r="K522" s="1" t="s">
        <v>113</v>
      </c>
    </row>
    <row r="523" spans="1:23" outlineLevel="1" x14ac:dyDescent="0.2">
      <c r="A523" s="170">
        <v>44105</v>
      </c>
      <c r="B523" s="154"/>
      <c r="C523" s="154"/>
      <c r="D523" s="154">
        <f t="shared" si="104"/>
        <v>0</v>
      </c>
      <c r="E523" s="164" t="str">
        <f t="shared" si="105"/>
        <v/>
      </c>
      <c r="F523" s="154"/>
      <c r="G523" s="154"/>
      <c r="I523" s="1" t="s">
        <v>118</v>
      </c>
      <c r="J523" s="1" t="s">
        <v>119</v>
      </c>
      <c r="K523" s="1" t="s">
        <v>113</v>
      </c>
    </row>
    <row r="524" spans="1:23" outlineLevel="1" x14ac:dyDescent="0.2">
      <c r="A524" s="170">
        <v>44136</v>
      </c>
      <c r="B524" s="154"/>
      <c r="C524" s="154"/>
      <c r="D524" s="154">
        <f t="shared" si="104"/>
        <v>0</v>
      </c>
      <c r="E524" s="164" t="str">
        <f t="shared" si="105"/>
        <v/>
      </c>
      <c r="F524" s="154"/>
      <c r="G524" s="154"/>
      <c r="I524" s="1" t="s">
        <v>118</v>
      </c>
      <c r="J524" s="1" t="s">
        <v>119</v>
      </c>
      <c r="K524" s="1" t="s">
        <v>113</v>
      </c>
    </row>
    <row r="525" spans="1:23" outlineLevel="1" x14ac:dyDescent="0.2">
      <c r="A525" s="170">
        <v>44166</v>
      </c>
      <c r="B525" s="154"/>
      <c r="C525" s="154"/>
      <c r="D525" s="154">
        <f t="shared" si="104"/>
        <v>0</v>
      </c>
      <c r="E525" s="164" t="str">
        <f t="shared" si="105"/>
        <v/>
      </c>
      <c r="F525" s="154"/>
      <c r="G525" s="154"/>
      <c r="I525" s="1" t="s">
        <v>118</v>
      </c>
      <c r="J525" s="1" t="s">
        <v>119</v>
      </c>
      <c r="K525" s="1" t="s">
        <v>113</v>
      </c>
    </row>
    <row r="526" spans="1:23" x14ac:dyDescent="0.2">
      <c r="A526" s="151" t="s">
        <v>138</v>
      </c>
      <c r="B526" s="152">
        <f>SUM(B514:B525)</f>
        <v>1633209.1359999999</v>
      </c>
      <c r="C526" s="152">
        <f>SUM(C514:C525)</f>
        <v>1537403.746</v>
      </c>
      <c r="D526" s="152">
        <f>SUM(D514:D525)</f>
        <v>95805.390000000043</v>
      </c>
      <c r="E526" s="163">
        <f>(D526/G513*100)</f>
        <v>14.570465209783844</v>
      </c>
      <c r="F526" s="152">
        <f>SUM(F514:F525)</f>
        <v>13479.370999999999</v>
      </c>
      <c r="G526" s="153">
        <f>IFERROR(INDEX($G$514:$G$525,COUNTA($G$514:$G$525)),0)</f>
        <v>766816.29</v>
      </c>
    </row>
    <row r="527" spans="1:23" s="4" customFormat="1" x14ac:dyDescent="0.2">
      <c r="A527" s="156" t="s">
        <v>108</v>
      </c>
      <c r="B527" s="157"/>
      <c r="C527" s="157"/>
      <c r="D527" s="157"/>
      <c r="E527" s="165"/>
      <c r="F527" s="157"/>
      <c r="G527" s="158"/>
      <c r="I527" s="1"/>
      <c r="J527" s="1"/>
      <c r="K527" s="1"/>
      <c r="M527" s="8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s="4" customFormat="1" x14ac:dyDescent="0.2">
      <c r="A528" s="20"/>
      <c r="B528" s="21"/>
      <c r="C528" s="21"/>
      <c r="D528" s="19"/>
      <c r="E528" s="166"/>
      <c r="F528" s="23"/>
      <c r="G528" s="23"/>
      <c r="I528" s="1"/>
      <c r="J528" s="1"/>
      <c r="K528" s="1"/>
      <c r="M528" s="8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s="4" customFormat="1" x14ac:dyDescent="0.2">
      <c r="A529" s="70" t="s">
        <v>122</v>
      </c>
      <c r="B529" s="63"/>
      <c r="C529" s="63"/>
      <c r="D529" s="64"/>
      <c r="E529" s="167" t="s">
        <v>125</v>
      </c>
      <c r="F529" s="66"/>
      <c r="G529" s="66"/>
      <c r="I529" s="1"/>
      <c r="J529" s="1"/>
      <c r="K529" s="18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s="4" customFormat="1" x14ac:dyDescent="0.2">
      <c r="A530" s="71" t="s">
        <v>123</v>
      </c>
      <c r="B530" s="62"/>
      <c r="C530" s="62"/>
      <c r="D530" s="62"/>
      <c r="E530" s="168" t="s">
        <v>126</v>
      </c>
      <c r="F530" s="62"/>
      <c r="G530" s="62"/>
      <c r="I530" s="1"/>
      <c r="J530" s="1"/>
      <c r="K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s="4" customFormat="1" x14ac:dyDescent="0.2">
      <c r="A531" s="72" t="s">
        <v>124</v>
      </c>
      <c r="B531" s="68"/>
      <c r="C531" s="68"/>
      <c r="D531" s="68"/>
      <c r="E531" s="169" t="s">
        <v>79</v>
      </c>
      <c r="F531" s="68"/>
      <c r="G531" s="68"/>
      <c r="I531" s="1"/>
      <c r="J531" s="1"/>
      <c r="K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</sheetData>
  <mergeCells count="2">
    <mergeCell ref="B3:G3"/>
    <mergeCell ref="D5:E5"/>
  </mergeCells>
  <phoneticPr fontId="0" type="noConversion"/>
  <printOptions horizontalCentered="1"/>
  <pageMargins left="0.25" right="0.25" top="0.75" bottom="0.75" header="0.3" footer="0.3"/>
  <pageSetup paperSize="9" scale="90" orientation="portrait" r:id="rId1"/>
  <headerFooter alignWithMargins="0"/>
  <ignoredErrors>
    <ignoredError sqref="E163:E370 B32:B201 E383" formula="1"/>
    <ignoredError sqref="E162 E32:E149" formula="1" formulaRange="1"/>
    <ignoredError sqref="D150:E161 D162 D32:D149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2:U533"/>
  <sheetViews>
    <sheetView showGridLines="0" zoomScaleNormal="100" workbookViewId="0">
      <pane ySplit="6" topLeftCell="A514" activePane="bottomLeft" state="frozen"/>
      <selection activeCell="B491" sqref="B491:C491"/>
      <selection pane="bottomLeft" activeCell="I521" sqref="I521"/>
    </sheetView>
  </sheetViews>
  <sheetFormatPr defaultRowHeight="12.75" outlineLevelRow="1" x14ac:dyDescent="0.2"/>
  <cols>
    <col min="1" max="1" width="10.5703125" style="1" customWidth="1"/>
    <col min="2" max="2" width="11.85546875" style="2" customWidth="1"/>
    <col min="3" max="4" width="12.42578125" style="2" customWidth="1"/>
    <col min="5" max="5" width="10.28515625" style="2" customWidth="1"/>
    <col min="6" max="6" width="12.42578125" style="1" customWidth="1"/>
    <col min="7" max="7" width="16.42578125" style="1" customWidth="1"/>
    <col min="8" max="8" width="4.28515625" style="1" bestFit="1" customWidth="1"/>
    <col min="9" max="10" width="13.5703125" style="1" bestFit="1" customWidth="1"/>
    <col min="11" max="11" width="14.5703125" style="1" bestFit="1" customWidth="1"/>
    <col min="12" max="12" width="8.85546875" style="1" bestFit="1" customWidth="1"/>
    <col min="13" max="13" width="10" style="1" bestFit="1" customWidth="1"/>
    <col min="14" max="14" width="9.85546875" style="1" bestFit="1" customWidth="1"/>
    <col min="15" max="15" width="9.140625" style="1"/>
    <col min="16" max="18" width="11.85546875" style="1" bestFit="1" customWidth="1"/>
    <col min="19" max="19" width="9.140625" style="1"/>
    <col min="20" max="20" width="11.85546875" style="1" bestFit="1" customWidth="1"/>
    <col min="21" max="16384" width="9.140625" style="1"/>
  </cols>
  <sheetData>
    <row r="2" spans="1:7" x14ac:dyDescent="0.2">
      <c r="B2" s="58" t="s">
        <v>101</v>
      </c>
      <c r="C2" s="59"/>
      <c r="D2" s="59"/>
      <c r="E2" s="59"/>
      <c r="F2" s="59"/>
      <c r="G2" s="59"/>
    </row>
    <row r="3" spans="1:7" x14ac:dyDescent="0.2">
      <c r="B3" s="59" t="s">
        <v>77</v>
      </c>
      <c r="C3" s="59"/>
      <c r="D3" s="59"/>
      <c r="E3" s="59"/>
      <c r="F3" s="59"/>
      <c r="G3" s="59"/>
    </row>
    <row r="4" spans="1:7" x14ac:dyDescent="0.2">
      <c r="B4" s="1"/>
      <c r="C4" s="60"/>
      <c r="D4" s="60"/>
      <c r="E4" s="60"/>
      <c r="F4" s="60"/>
      <c r="G4" s="60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92" t="s">
        <v>1</v>
      </c>
      <c r="E5" s="193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3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8" t="s">
        <v>43</v>
      </c>
      <c r="B8" s="14"/>
      <c r="C8" s="14"/>
      <c r="D8" s="14"/>
      <c r="E8" s="15"/>
      <c r="F8" s="14"/>
      <c r="G8" s="16"/>
    </row>
    <row r="9" spans="1:7" x14ac:dyDescent="0.2">
      <c r="A9" s="18" t="s">
        <v>44</v>
      </c>
      <c r="B9" s="14"/>
      <c r="C9" s="14"/>
      <c r="D9" s="14"/>
      <c r="E9" s="15"/>
      <c r="F9" s="14"/>
      <c r="G9" s="16"/>
    </row>
    <row r="10" spans="1:7" x14ac:dyDescent="0.2">
      <c r="A10" s="18" t="s">
        <v>45</v>
      </c>
      <c r="B10" s="14"/>
      <c r="C10" s="14"/>
      <c r="D10" s="14"/>
      <c r="E10" s="15"/>
      <c r="F10" s="14"/>
      <c r="G10" s="16"/>
    </row>
    <row r="11" spans="1:7" x14ac:dyDescent="0.2">
      <c r="A11" s="18" t="s">
        <v>46</v>
      </c>
      <c r="B11" s="14"/>
      <c r="C11" s="14"/>
      <c r="D11" s="14"/>
      <c r="E11" s="15"/>
      <c r="F11" s="14"/>
      <c r="G11" s="16"/>
    </row>
    <row r="12" spans="1:7" x14ac:dyDescent="0.2">
      <c r="A12" s="18" t="s">
        <v>47</v>
      </c>
      <c r="B12" s="14"/>
      <c r="C12" s="14"/>
      <c r="D12" s="14"/>
      <c r="E12" s="15"/>
      <c r="F12" s="14"/>
      <c r="G12" s="16"/>
    </row>
    <row r="13" spans="1:7" x14ac:dyDescent="0.2">
      <c r="A13" s="18" t="s">
        <v>48</v>
      </c>
      <c r="B13" s="14"/>
      <c r="C13" s="14"/>
      <c r="D13" s="14"/>
      <c r="E13" s="15"/>
      <c r="F13" s="14"/>
      <c r="G13" s="16"/>
    </row>
    <row r="14" spans="1:7" x14ac:dyDescent="0.2">
      <c r="A14" s="18" t="s">
        <v>49</v>
      </c>
      <c r="B14" s="14"/>
      <c r="C14" s="14"/>
      <c r="D14" s="14"/>
      <c r="E14" s="15"/>
      <c r="F14" s="14"/>
      <c r="G14" s="16"/>
    </row>
    <row r="15" spans="1:7" x14ac:dyDescent="0.2">
      <c r="A15" s="18" t="s">
        <v>50</v>
      </c>
      <c r="B15" s="14"/>
      <c r="C15" s="14"/>
      <c r="D15" s="14"/>
      <c r="E15" s="15"/>
      <c r="F15" s="14"/>
      <c r="G15" s="16"/>
    </row>
    <row r="16" spans="1:7" x14ac:dyDescent="0.2">
      <c r="A16" s="18" t="s">
        <v>51</v>
      </c>
      <c r="B16" s="14"/>
      <c r="C16" s="14"/>
      <c r="D16" s="14"/>
      <c r="E16" s="15"/>
      <c r="F16" s="14"/>
      <c r="G16" s="16"/>
    </row>
    <row r="17" spans="1:8" x14ac:dyDescent="0.2">
      <c r="A17" s="18" t="s">
        <v>52</v>
      </c>
      <c r="B17" s="14"/>
      <c r="C17" s="14"/>
      <c r="D17" s="14"/>
      <c r="E17" s="15"/>
      <c r="F17" s="14"/>
      <c r="G17" s="16"/>
    </row>
    <row r="18" spans="1:8" x14ac:dyDescent="0.2">
      <c r="A18" s="18" t="s">
        <v>53</v>
      </c>
      <c r="B18" s="14"/>
      <c r="C18" s="14"/>
      <c r="D18" s="14"/>
      <c r="E18" s="15"/>
      <c r="F18" s="14"/>
      <c r="G18" s="16"/>
    </row>
    <row r="19" spans="1:8" x14ac:dyDescent="0.2">
      <c r="A19" s="18" t="s">
        <v>42</v>
      </c>
      <c r="B19" s="14"/>
      <c r="C19" s="14"/>
      <c r="D19" s="14"/>
      <c r="E19" s="15"/>
      <c r="F19" s="14"/>
      <c r="G19" s="16"/>
    </row>
    <row r="20" spans="1:8" ht="20.100000000000001" hidden="1" customHeight="1" outlineLevel="1" x14ac:dyDescent="0.2">
      <c r="A20" s="17">
        <v>29952</v>
      </c>
      <c r="B20" s="5"/>
      <c r="C20" s="5"/>
      <c r="D20" s="6"/>
      <c r="E20" s="7"/>
      <c r="F20" s="6"/>
      <c r="G20" s="6"/>
      <c r="H20" s="8"/>
    </row>
    <row r="21" spans="1:8" hidden="1" outlineLevel="1" x14ac:dyDescent="0.2">
      <c r="A21" s="17">
        <v>29983</v>
      </c>
      <c r="B21" s="5"/>
      <c r="C21" s="5"/>
      <c r="D21" s="6"/>
      <c r="E21" s="7"/>
      <c r="F21" s="6"/>
      <c r="G21" s="6"/>
      <c r="H21" s="8"/>
    </row>
    <row r="22" spans="1:8" hidden="1" outlineLevel="1" x14ac:dyDescent="0.2">
      <c r="A22" s="17">
        <v>30011</v>
      </c>
      <c r="B22" s="5"/>
      <c r="C22" s="5"/>
      <c r="D22" s="6"/>
      <c r="E22" s="7"/>
      <c r="F22" s="6"/>
      <c r="G22" s="6"/>
      <c r="H22" s="8"/>
    </row>
    <row r="23" spans="1:8" hidden="1" outlineLevel="1" x14ac:dyDescent="0.2">
      <c r="A23" s="17">
        <v>30042</v>
      </c>
      <c r="B23" s="5"/>
      <c r="C23" s="5"/>
      <c r="D23" s="6"/>
      <c r="E23" s="7"/>
      <c r="F23" s="6"/>
      <c r="G23" s="6"/>
      <c r="H23" s="8"/>
    </row>
    <row r="24" spans="1:8" hidden="1" outlineLevel="1" x14ac:dyDescent="0.2">
      <c r="A24" s="17">
        <v>30072</v>
      </c>
      <c r="B24" s="5"/>
      <c r="C24" s="5"/>
      <c r="D24" s="6"/>
      <c r="E24" s="7"/>
      <c r="F24" s="6"/>
      <c r="G24" s="6"/>
      <c r="H24" s="8"/>
    </row>
    <row r="25" spans="1:8" hidden="1" outlineLevel="1" x14ac:dyDescent="0.2">
      <c r="A25" s="17">
        <v>30103</v>
      </c>
      <c r="B25" s="5"/>
      <c r="C25" s="5"/>
      <c r="D25" s="6"/>
      <c r="E25" s="7"/>
      <c r="F25" s="6"/>
      <c r="G25" s="6"/>
      <c r="H25" s="8"/>
    </row>
    <row r="26" spans="1:8" hidden="1" outlineLevel="1" x14ac:dyDescent="0.2">
      <c r="A26" s="17">
        <v>30133</v>
      </c>
      <c r="B26" s="5"/>
      <c r="C26" s="5"/>
      <c r="D26" s="6"/>
      <c r="E26" s="7"/>
      <c r="F26" s="6"/>
      <c r="G26" s="6"/>
      <c r="H26" s="8"/>
    </row>
    <row r="27" spans="1:8" hidden="1" outlineLevel="1" x14ac:dyDescent="0.2">
      <c r="A27" s="17">
        <v>30164</v>
      </c>
      <c r="B27" s="5"/>
      <c r="C27" s="5"/>
      <c r="D27" s="6"/>
      <c r="E27" s="7"/>
      <c r="F27" s="6"/>
      <c r="G27" s="6"/>
      <c r="H27" s="8"/>
    </row>
    <row r="28" spans="1:8" hidden="1" outlineLevel="1" x14ac:dyDescent="0.2">
      <c r="A28" s="17">
        <v>30195</v>
      </c>
      <c r="B28" s="5"/>
      <c r="C28" s="5"/>
      <c r="D28" s="6"/>
      <c r="E28" s="7"/>
      <c r="F28" s="6"/>
      <c r="G28" s="6"/>
      <c r="H28" s="8"/>
    </row>
    <row r="29" spans="1:8" hidden="1" outlineLevel="1" x14ac:dyDescent="0.2">
      <c r="A29" s="17">
        <v>30225</v>
      </c>
      <c r="B29" s="5"/>
      <c r="C29" s="5"/>
      <c r="D29" s="6"/>
      <c r="E29" s="7"/>
      <c r="F29" s="6"/>
      <c r="G29" s="6"/>
      <c r="H29" s="8"/>
    </row>
    <row r="30" spans="1:8" hidden="1" outlineLevel="1" x14ac:dyDescent="0.2">
      <c r="A30" s="17">
        <v>30256</v>
      </c>
      <c r="B30" s="5"/>
      <c r="C30" s="5"/>
      <c r="D30" s="6"/>
      <c r="E30" s="7"/>
      <c r="F30" s="6"/>
      <c r="G30" s="6"/>
      <c r="H30" s="8"/>
    </row>
    <row r="31" spans="1:8" hidden="1" outlineLevel="1" x14ac:dyDescent="0.2">
      <c r="A31" s="17">
        <v>30286</v>
      </c>
      <c r="B31" s="5"/>
      <c r="C31" s="5"/>
      <c r="D31" s="6"/>
      <c r="E31" s="7"/>
      <c r="F31" s="6"/>
      <c r="G31" s="6"/>
      <c r="H31" s="8"/>
    </row>
    <row r="32" spans="1:8" collapsed="1" x14ac:dyDescent="0.2">
      <c r="A32" s="18" t="s">
        <v>17</v>
      </c>
      <c r="B32" s="14"/>
      <c r="C32" s="14"/>
      <c r="D32" s="14"/>
      <c r="E32" s="15"/>
      <c r="F32" s="14"/>
      <c r="G32" s="16"/>
    </row>
    <row r="33" spans="1:8" ht="20.100000000000001" hidden="1" customHeight="1" outlineLevel="1" x14ac:dyDescent="0.2">
      <c r="A33" s="17">
        <v>30317</v>
      </c>
      <c r="B33" s="5"/>
      <c r="C33" s="5"/>
      <c r="D33" s="6"/>
      <c r="E33" s="7"/>
      <c r="F33" s="6"/>
      <c r="G33" s="6"/>
      <c r="H33" s="8"/>
    </row>
    <row r="34" spans="1:8" hidden="1" outlineLevel="1" x14ac:dyDescent="0.2">
      <c r="A34" s="17">
        <v>30348</v>
      </c>
      <c r="B34" s="5"/>
      <c r="C34" s="5"/>
      <c r="D34" s="6"/>
      <c r="E34" s="7"/>
      <c r="F34" s="6"/>
      <c r="G34" s="6"/>
      <c r="H34" s="8"/>
    </row>
    <row r="35" spans="1:8" hidden="1" outlineLevel="1" x14ac:dyDescent="0.2">
      <c r="A35" s="17">
        <v>30376</v>
      </c>
      <c r="B35" s="5"/>
      <c r="C35" s="5"/>
      <c r="D35" s="6"/>
      <c r="E35" s="7"/>
      <c r="F35" s="6"/>
      <c r="G35" s="6"/>
      <c r="H35" s="8"/>
    </row>
    <row r="36" spans="1:8" hidden="1" outlineLevel="1" x14ac:dyDescent="0.2">
      <c r="A36" s="17">
        <v>30407</v>
      </c>
      <c r="B36" s="5"/>
      <c r="C36" s="5"/>
      <c r="D36" s="6"/>
      <c r="E36" s="7"/>
      <c r="F36" s="6"/>
      <c r="G36" s="6"/>
      <c r="H36" s="8"/>
    </row>
    <row r="37" spans="1:8" hidden="1" outlineLevel="1" x14ac:dyDescent="0.2">
      <c r="A37" s="17">
        <v>30437</v>
      </c>
      <c r="B37" s="5"/>
      <c r="C37" s="5"/>
      <c r="D37" s="6"/>
      <c r="E37" s="7"/>
      <c r="F37" s="6"/>
      <c r="G37" s="6"/>
      <c r="H37" s="8"/>
    </row>
    <row r="38" spans="1:8" hidden="1" outlineLevel="1" x14ac:dyDescent="0.2">
      <c r="A38" s="17">
        <v>30468</v>
      </c>
      <c r="B38" s="5"/>
      <c r="C38" s="5"/>
      <c r="D38" s="6"/>
      <c r="E38" s="7"/>
      <c r="F38" s="6"/>
      <c r="G38" s="6"/>
      <c r="H38" s="8"/>
    </row>
    <row r="39" spans="1:8" hidden="1" outlineLevel="1" x14ac:dyDescent="0.2">
      <c r="A39" s="17">
        <v>30498</v>
      </c>
      <c r="B39" s="5"/>
      <c r="C39" s="5"/>
      <c r="D39" s="6"/>
      <c r="E39" s="7"/>
      <c r="F39" s="6"/>
      <c r="G39" s="6"/>
      <c r="H39" s="8"/>
    </row>
    <row r="40" spans="1:8" hidden="1" outlineLevel="1" x14ac:dyDescent="0.2">
      <c r="A40" s="17">
        <v>30529</v>
      </c>
      <c r="B40" s="5"/>
      <c r="C40" s="5"/>
      <c r="D40" s="6"/>
      <c r="E40" s="7"/>
      <c r="F40" s="6"/>
      <c r="G40" s="6"/>
      <c r="H40" s="8"/>
    </row>
    <row r="41" spans="1:8" hidden="1" outlineLevel="1" x14ac:dyDescent="0.2">
      <c r="A41" s="17">
        <v>30560</v>
      </c>
      <c r="B41" s="5"/>
      <c r="C41" s="5"/>
      <c r="D41" s="6"/>
      <c r="E41" s="7"/>
      <c r="F41" s="6"/>
      <c r="G41" s="6"/>
      <c r="H41" s="8"/>
    </row>
    <row r="42" spans="1:8" hidden="1" outlineLevel="1" x14ac:dyDescent="0.2">
      <c r="A42" s="17">
        <v>30590</v>
      </c>
      <c r="B42" s="5"/>
      <c r="C42" s="5"/>
      <c r="D42" s="6"/>
      <c r="E42" s="7"/>
      <c r="F42" s="6"/>
      <c r="G42" s="6"/>
      <c r="H42" s="8"/>
    </row>
    <row r="43" spans="1:8" hidden="1" outlineLevel="1" x14ac:dyDescent="0.2">
      <c r="A43" s="17">
        <v>30621</v>
      </c>
      <c r="B43" s="5"/>
      <c r="C43" s="5"/>
      <c r="D43" s="6"/>
      <c r="E43" s="7"/>
      <c r="F43" s="6"/>
      <c r="G43" s="6"/>
      <c r="H43" s="8"/>
    </row>
    <row r="44" spans="1:8" hidden="1" outlineLevel="1" x14ac:dyDescent="0.2">
      <c r="A44" s="17">
        <v>30651</v>
      </c>
      <c r="B44" s="5"/>
      <c r="C44" s="5"/>
      <c r="D44" s="6"/>
      <c r="E44" s="7"/>
      <c r="F44" s="6"/>
      <c r="G44" s="6"/>
      <c r="H44" s="8"/>
    </row>
    <row r="45" spans="1:8" collapsed="1" x14ac:dyDescent="0.2">
      <c r="A45" s="18" t="s">
        <v>18</v>
      </c>
      <c r="B45" s="14"/>
      <c r="C45" s="14"/>
      <c r="D45" s="14"/>
      <c r="E45" s="15"/>
      <c r="F45" s="14"/>
      <c r="G45" s="16"/>
    </row>
    <row r="46" spans="1:8" ht="20.100000000000001" hidden="1" customHeight="1" outlineLevel="1" x14ac:dyDescent="0.2">
      <c r="A46" s="17">
        <v>30682</v>
      </c>
      <c r="B46" s="5"/>
      <c r="C46" s="5"/>
      <c r="D46" s="6"/>
      <c r="E46" s="7"/>
      <c r="F46" s="6"/>
      <c r="G46" s="6"/>
      <c r="H46" s="8"/>
    </row>
    <row r="47" spans="1:8" hidden="1" outlineLevel="1" x14ac:dyDescent="0.2">
      <c r="A47" s="17">
        <v>30713</v>
      </c>
      <c r="B47" s="5"/>
      <c r="C47" s="5"/>
      <c r="D47" s="6"/>
      <c r="E47" s="7"/>
      <c r="F47" s="6"/>
      <c r="G47" s="6"/>
      <c r="H47" s="8"/>
    </row>
    <row r="48" spans="1:8" hidden="1" outlineLevel="1" x14ac:dyDescent="0.2">
      <c r="A48" s="17">
        <v>30742</v>
      </c>
      <c r="B48" s="5"/>
      <c r="C48" s="5"/>
      <c r="D48" s="6"/>
      <c r="E48" s="7"/>
      <c r="F48" s="6"/>
      <c r="G48" s="6"/>
      <c r="H48" s="8"/>
    </row>
    <row r="49" spans="1:8" hidden="1" outlineLevel="1" x14ac:dyDescent="0.2">
      <c r="A49" s="17">
        <v>30773</v>
      </c>
      <c r="B49" s="5"/>
      <c r="C49" s="5"/>
      <c r="D49" s="6"/>
      <c r="E49" s="7"/>
      <c r="F49" s="6"/>
      <c r="G49" s="6"/>
      <c r="H49" s="8"/>
    </row>
    <row r="50" spans="1:8" hidden="1" outlineLevel="1" x14ac:dyDescent="0.2">
      <c r="A50" s="17">
        <v>30803</v>
      </c>
      <c r="B50" s="5"/>
      <c r="C50" s="5"/>
      <c r="D50" s="6"/>
      <c r="E50" s="7"/>
      <c r="F50" s="6"/>
      <c r="G50" s="6"/>
      <c r="H50" s="8"/>
    </row>
    <row r="51" spans="1:8" hidden="1" outlineLevel="1" x14ac:dyDescent="0.2">
      <c r="A51" s="17">
        <v>30834</v>
      </c>
      <c r="B51" s="5"/>
      <c r="C51" s="5"/>
      <c r="D51" s="6"/>
      <c r="E51" s="7"/>
      <c r="F51" s="6"/>
      <c r="G51" s="6"/>
      <c r="H51" s="8"/>
    </row>
    <row r="52" spans="1:8" hidden="1" outlineLevel="1" x14ac:dyDescent="0.2">
      <c r="A52" s="17">
        <v>30864</v>
      </c>
      <c r="B52" s="5"/>
      <c r="C52" s="5"/>
      <c r="D52" s="6"/>
      <c r="E52" s="7"/>
      <c r="F52" s="6"/>
      <c r="G52" s="6"/>
      <c r="H52" s="8"/>
    </row>
    <row r="53" spans="1:8" hidden="1" outlineLevel="1" x14ac:dyDescent="0.2">
      <c r="A53" s="17">
        <v>30895</v>
      </c>
      <c r="B53" s="5"/>
      <c r="C53" s="5"/>
      <c r="D53" s="6"/>
      <c r="E53" s="7"/>
      <c r="F53" s="6"/>
      <c r="G53" s="6"/>
      <c r="H53" s="8"/>
    </row>
    <row r="54" spans="1:8" hidden="1" outlineLevel="1" x14ac:dyDescent="0.2">
      <c r="A54" s="17">
        <v>30926</v>
      </c>
      <c r="B54" s="5"/>
      <c r="C54" s="5"/>
      <c r="D54" s="6"/>
      <c r="E54" s="7"/>
      <c r="F54" s="6"/>
      <c r="G54" s="6"/>
      <c r="H54" s="8"/>
    </row>
    <row r="55" spans="1:8" hidden="1" outlineLevel="1" x14ac:dyDescent="0.2">
      <c r="A55" s="17">
        <v>30956</v>
      </c>
      <c r="B55" s="5"/>
      <c r="C55" s="5"/>
      <c r="D55" s="6"/>
      <c r="E55" s="7"/>
      <c r="F55" s="6"/>
      <c r="G55" s="6"/>
      <c r="H55" s="8"/>
    </row>
    <row r="56" spans="1:8" hidden="1" outlineLevel="1" x14ac:dyDescent="0.2">
      <c r="A56" s="17">
        <v>30987</v>
      </c>
      <c r="B56" s="5"/>
      <c r="C56" s="5"/>
      <c r="D56" s="6"/>
      <c r="E56" s="7"/>
      <c r="F56" s="6"/>
      <c r="G56" s="6"/>
      <c r="H56" s="8"/>
    </row>
    <row r="57" spans="1:8" hidden="1" outlineLevel="1" x14ac:dyDescent="0.2">
      <c r="A57" s="17">
        <v>31017</v>
      </c>
      <c r="B57" s="5"/>
      <c r="C57" s="5"/>
      <c r="D57" s="6"/>
      <c r="E57" s="7"/>
      <c r="F57" s="6"/>
      <c r="G57" s="6"/>
      <c r="H57" s="8"/>
    </row>
    <row r="58" spans="1:8" collapsed="1" x14ac:dyDescent="0.2">
      <c r="A58" s="18" t="s">
        <v>19</v>
      </c>
      <c r="B58" s="14"/>
      <c r="C58" s="14"/>
      <c r="D58" s="14"/>
      <c r="E58" s="15"/>
      <c r="F58" s="14"/>
      <c r="G58" s="16"/>
    </row>
    <row r="59" spans="1:8" ht="20.100000000000001" hidden="1" customHeight="1" outlineLevel="1" x14ac:dyDescent="0.2">
      <c r="A59" s="17">
        <v>31048</v>
      </c>
      <c r="B59" s="5"/>
      <c r="C59" s="5"/>
      <c r="D59" s="6"/>
      <c r="E59" s="7"/>
      <c r="F59" s="6"/>
      <c r="G59" s="6"/>
      <c r="H59" s="8"/>
    </row>
    <row r="60" spans="1:8" hidden="1" outlineLevel="1" x14ac:dyDescent="0.2">
      <c r="A60" s="17">
        <v>31079</v>
      </c>
      <c r="B60" s="5"/>
      <c r="C60" s="5"/>
      <c r="D60" s="6"/>
      <c r="E60" s="7"/>
      <c r="F60" s="6"/>
      <c r="G60" s="6"/>
      <c r="H60" s="8"/>
    </row>
    <row r="61" spans="1:8" hidden="1" outlineLevel="1" x14ac:dyDescent="0.2">
      <c r="A61" s="17">
        <v>31107</v>
      </c>
      <c r="B61" s="5"/>
      <c r="C61" s="5"/>
      <c r="D61" s="6"/>
      <c r="E61" s="7"/>
      <c r="F61" s="6"/>
      <c r="G61" s="6"/>
      <c r="H61" s="8"/>
    </row>
    <row r="62" spans="1:8" hidden="1" outlineLevel="1" x14ac:dyDescent="0.2">
      <c r="A62" s="17">
        <v>31138</v>
      </c>
      <c r="B62" s="5"/>
      <c r="C62" s="5"/>
      <c r="D62" s="6"/>
      <c r="E62" s="7"/>
      <c r="F62" s="6"/>
      <c r="G62" s="6"/>
      <c r="H62" s="8"/>
    </row>
    <row r="63" spans="1:8" hidden="1" outlineLevel="1" x14ac:dyDescent="0.2">
      <c r="A63" s="17">
        <v>31168</v>
      </c>
      <c r="B63" s="5"/>
      <c r="C63" s="5"/>
      <c r="D63" s="6"/>
      <c r="E63" s="7"/>
      <c r="F63" s="6"/>
      <c r="G63" s="6"/>
      <c r="H63" s="8"/>
    </row>
    <row r="64" spans="1:8" hidden="1" outlineLevel="1" x14ac:dyDescent="0.2">
      <c r="A64" s="17">
        <v>31199</v>
      </c>
      <c r="B64" s="5"/>
      <c r="C64" s="5"/>
      <c r="D64" s="6"/>
      <c r="E64" s="7"/>
      <c r="F64" s="6"/>
      <c r="G64" s="6"/>
      <c r="H64" s="8"/>
    </row>
    <row r="65" spans="1:8" hidden="1" outlineLevel="1" x14ac:dyDescent="0.2">
      <c r="A65" s="17">
        <v>31229</v>
      </c>
      <c r="B65" s="5"/>
      <c r="C65" s="5"/>
      <c r="D65" s="6"/>
      <c r="E65" s="7"/>
      <c r="F65" s="6"/>
      <c r="G65" s="6"/>
      <c r="H65" s="8"/>
    </row>
    <row r="66" spans="1:8" hidden="1" outlineLevel="1" x14ac:dyDescent="0.2">
      <c r="A66" s="17">
        <v>31260</v>
      </c>
      <c r="B66" s="5"/>
      <c r="C66" s="5"/>
      <c r="D66" s="6"/>
      <c r="E66" s="7"/>
      <c r="F66" s="6"/>
      <c r="G66" s="6"/>
      <c r="H66" s="8"/>
    </row>
    <row r="67" spans="1:8" hidden="1" outlineLevel="1" x14ac:dyDescent="0.2">
      <c r="A67" s="17">
        <v>31291</v>
      </c>
      <c r="B67" s="5"/>
      <c r="C67" s="5"/>
      <c r="D67" s="6"/>
      <c r="E67" s="7"/>
      <c r="F67" s="6"/>
      <c r="G67" s="6"/>
      <c r="H67" s="8"/>
    </row>
    <row r="68" spans="1:8" hidden="1" outlineLevel="1" x14ac:dyDescent="0.2">
      <c r="A68" s="17">
        <v>31321</v>
      </c>
      <c r="B68" s="5"/>
      <c r="C68" s="5"/>
      <c r="D68" s="6"/>
      <c r="E68" s="7"/>
      <c r="F68" s="6"/>
      <c r="G68" s="6"/>
      <c r="H68" s="8"/>
    </row>
    <row r="69" spans="1:8" hidden="1" outlineLevel="1" x14ac:dyDescent="0.2">
      <c r="A69" s="17">
        <v>31352</v>
      </c>
      <c r="B69" s="5"/>
      <c r="C69" s="5"/>
      <c r="D69" s="6"/>
      <c r="E69" s="7"/>
      <c r="F69" s="6"/>
      <c r="G69" s="6"/>
      <c r="H69" s="8"/>
    </row>
    <row r="70" spans="1:8" hidden="1" outlineLevel="1" x14ac:dyDescent="0.2">
      <c r="A70" s="17">
        <v>31382</v>
      </c>
      <c r="B70" s="5"/>
      <c r="C70" s="5"/>
      <c r="D70" s="6"/>
      <c r="E70" s="7"/>
      <c r="F70" s="6"/>
      <c r="G70" s="6"/>
      <c r="H70" s="8"/>
    </row>
    <row r="71" spans="1:8" collapsed="1" x14ac:dyDescent="0.2">
      <c r="A71" s="18" t="s">
        <v>20</v>
      </c>
      <c r="B71" s="14"/>
      <c r="C71" s="14"/>
      <c r="D71" s="14"/>
      <c r="E71" s="15"/>
      <c r="F71" s="14"/>
      <c r="G71" s="16"/>
    </row>
    <row r="72" spans="1:8" ht="20.100000000000001" hidden="1" customHeight="1" outlineLevel="1" x14ac:dyDescent="0.2">
      <c r="A72" s="17">
        <v>31413</v>
      </c>
      <c r="B72" s="5"/>
      <c r="C72" s="5"/>
      <c r="D72" s="6"/>
      <c r="E72" s="7"/>
      <c r="F72" s="6"/>
      <c r="G72" s="6"/>
      <c r="H72" s="8"/>
    </row>
    <row r="73" spans="1:8" hidden="1" outlineLevel="1" x14ac:dyDescent="0.2">
      <c r="A73" s="17">
        <v>31444</v>
      </c>
      <c r="B73" s="5"/>
      <c r="C73" s="5"/>
      <c r="D73" s="6"/>
      <c r="E73" s="7"/>
      <c r="F73" s="6"/>
      <c r="G73" s="6"/>
      <c r="H73" s="8"/>
    </row>
    <row r="74" spans="1:8" hidden="1" outlineLevel="1" x14ac:dyDescent="0.2">
      <c r="A74" s="17">
        <v>31472</v>
      </c>
      <c r="B74" s="5"/>
      <c r="C74" s="5"/>
      <c r="D74" s="6"/>
      <c r="E74" s="7"/>
      <c r="F74" s="6"/>
      <c r="G74" s="6"/>
      <c r="H74" s="8"/>
    </row>
    <row r="75" spans="1:8" hidden="1" outlineLevel="1" x14ac:dyDescent="0.2">
      <c r="A75" s="17">
        <v>31503</v>
      </c>
      <c r="B75" s="5"/>
      <c r="C75" s="5"/>
      <c r="D75" s="6"/>
      <c r="E75" s="7"/>
      <c r="F75" s="6"/>
      <c r="G75" s="6"/>
      <c r="H75" s="8"/>
    </row>
    <row r="76" spans="1:8" hidden="1" outlineLevel="1" x14ac:dyDescent="0.2">
      <c r="A76" s="17">
        <v>31533</v>
      </c>
      <c r="B76" s="5"/>
      <c r="C76" s="5"/>
      <c r="D76" s="6"/>
      <c r="E76" s="7"/>
      <c r="F76" s="6"/>
      <c r="G76" s="6"/>
      <c r="H76" s="8"/>
    </row>
    <row r="77" spans="1:8" hidden="1" outlineLevel="1" x14ac:dyDescent="0.2">
      <c r="A77" s="17">
        <v>31564</v>
      </c>
      <c r="B77" s="5"/>
      <c r="C77" s="5"/>
      <c r="D77" s="6"/>
      <c r="E77" s="7"/>
      <c r="F77" s="6"/>
      <c r="G77" s="6"/>
      <c r="H77" s="8"/>
    </row>
    <row r="78" spans="1:8" hidden="1" outlineLevel="1" x14ac:dyDescent="0.2">
      <c r="A78" s="17">
        <v>31594</v>
      </c>
      <c r="B78" s="5"/>
      <c r="C78" s="5"/>
      <c r="D78" s="6"/>
      <c r="E78" s="7"/>
      <c r="F78" s="6"/>
      <c r="G78" s="6"/>
      <c r="H78" s="8"/>
    </row>
    <row r="79" spans="1:8" hidden="1" outlineLevel="1" x14ac:dyDescent="0.2">
      <c r="A79" s="17">
        <v>31625</v>
      </c>
      <c r="B79" s="5"/>
      <c r="C79" s="5"/>
      <c r="D79" s="6"/>
      <c r="E79" s="7"/>
      <c r="F79" s="6"/>
      <c r="G79" s="6"/>
      <c r="H79" s="8"/>
    </row>
    <row r="80" spans="1:8" hidden="1" outlineLevel="1" x14ac:dyDescent="0.2">
      <c r="A80" s="17">
        <v>31656</v>
      </c>
      <c r="B80" s="5"/>
      <c r="C80" s="5"/>
      <c r="D80" s="6"/>
      <c r="E80" s="7"/>
      <c r="F80" s="6"/>
      <c r="G80" s="6"/>
      <c r="H80" s="8"/>
    </row>
    <row r="81" spans="1:8" hidden="1" outlineLevel="1" x14ac:dyDescent="0.2">
      <c r="A81" s="17">
        <v>31686</v>
      </c>
      <c r="B81" s="5"/>
      <c r="C81" s="5"/>
      <c r="D81" s="6"/>
      <c r="E81" s="7"/>
      <c r="F81" s="6"/>
      <c r="G81" s="6"/>
      <c r="H81" s="8"/>
    </row>
    <row r="82" spans="1:8" hidden="1" outlineLevel="1" x14ac:dyDescent="0.2">
      <c r="A82" s="17">
        <v>31717</v>
      </c>
      <c r="B82" s="5"/>
      <c r="C82" s="5"/>
      <c r="D82" s="6"/>
      <c r="E82" s="7"/>
      <c r="F82" s="6"/>
      <c r="G82" s="6"/>
      <c r="H82" s="8"/>
    </row>
    <row r="83" spans="1:8" hidden="1" outlineLevel="1" x14ac:dyDescent="0.2">
      <c r="A83" s="17">
        <v>31747</v>
      </c>
      <c r="B83" s="5"/>
      <c r="C83" s="5"/>
      <c r="D83" s="6"/>
      <c r="E83" s="7"/>
      <c r="F83" s="6"/>
      <c r="G83" s="6"/>
      <c r="H83" s="8"/>
    </row>
    <row r="84" spans="1:8" collapsed="1" x14ac:dyDescent="0.2">
      <c r="A84" s="18" t="s">
        <v>21</v>
      </c>
      <c r="B84" s="14"/>
      <c r="C84" s="14"/>
      <c r="D84" s="14"/>
      <c r="E84" s="15"/>
      <c r="F84" s="14"/>
      <c r="G84" s="16"/>
    </row>
    <row r="85" spans="1:8" ht="20.100000000000001" hidden="1" customHeight="1" outlineLevel="1" x14ac:dyDescent="0.2">
      <c r="A85" s="17">
        <v>31778</v>
      </c>
      <c r="B85" s="5"/>
      <c r="C85" s="5"/>
      <c r="D85" s="6"/>
      <c r="E85" s="7"/>
      <c r="F85" s="6"/>
      <c r="G85" s="6"/>
      <c r="H85" s="8"/>
    </row>
    <row r="86" spans="1:8" hidden="1" outlineLevel="1" x14ac:dyDescent="0.2">
      <c r="A86" s="17">
        <v>31809</v>
      </c>
      <c r="B86" s="5"/>
      <c r="C86" s="5"/>
      <c r="D86" s="6"/>
      <c r="E86" s="7"/>
      <c r="F86" s="6"/>
      <c r="G86" s="6"/>
      <c r="H86" s="8"/>
    </row>
    <row r="87" spans="1:8" hidden="1" outlineLevel="1" x14ac:dyDescent="0.2">
      <c r="A87" s="17">
        <v>31837</v>
      </c>
      <c r="B87" s="5"/>
      <c r="C87" s="5"/>
      <c r="D87" s="6"/>
      <c r="E87" s="7"/>
      <c r="F87" s="6"/>
      <c r="G87" s="6"/>
      <c r="H87" s="8"/>
    </row>
    <row r="88" spans="1:8" hidden="1" outlineLevel="1" x14ac:dyDescent="0.2">
      <c r="A88" s="17">
        <v>31868</v>
      </c>
      <c r="B88" s="5"/>
      <c r="C88" s="5"/>
      <c r="D88" s="6"/>
      <c r="E88" s="7"/>
      <c r="F88" s="6"/>
      <c r="G88" s="6"/>
      <c r="H88" s="8"/>
    </row>
    <row r="89" spans="1:8" hidden="1" outlineLevel="1" x14ac:dyDescent="0.2">
      <c r="A89" s="17">
        <v>31898</v>
      </c>
      <c r="B89" s="5"/>
      <c r="C89" s="5"/>
      <c r="D89" s="6"/>
      <c r="E89" s="7"/>
      <c r="F89" s="6"/>
      <c r="G89" s="6"/>
      <c r="H89" s="8"/>
    </row>
    <row r="90" spans="1:8" hidden="1" outlineLevel="1" x14ac:dyDescent="0.2">
      <c r="A90" s="17">
        <v>31929</v>
      </c>
      <c r="B90" s="5"/>
      <c r="C90" s="5"/>
      <c r="D90" s="6"/>
      <c r="E90" s="7"/>
      <c r="F90" s="6"/>
      <c r="G90" s="6"/>
      <c r="H90" s="8"/>
    </row>
    <row r="91" spans="1:8" hidden="1" outlineLevel="1" x14ac:dyDescent="0.2">
      <c r="A91" s="17">
        <v>31959</v>
      </c>
      <c r="B91" s="5"/>
      <c r="C91" s="5"/>
      <c r="D91" s="6"/>
      <c r="E91" s="7"/>
      <c r="F91" s="6"/>
      <c r="G91" s="6"/>
      <c r="H91" s="8"/>
    </row>
    <row r="92" spans="1:8" hidden="1" outlineLevel="1" x14ac:dyDescent="0.2">
      <c r="A92" s="17">
        <v>31990</v>
      </c>
      <c r="B92" s="5"/>
      <c r="C92" s="5"/>
      <c r="D92" s="6"/>
      <c r="E92" s="7"/>
      <c r="F92" s="6"/>
      <c r="G92" s="6"/>
      <c r="H92" s="8"/>
    </row>
    <row r="93" spans="1:8" hidden="1" outlineLevel="1" x14ac:dyDescent="0.2">
      <c r="A93" s="17">
        <v>32021</v>
      </c>
      <c r="B93" s="5"/>
      <c r="C93" s="5"/>
      <c r="D93" s="6"/>
      <c r="E93" s="7"/>
      <c r="F93" s="6"/>
      <c r="G93" s="6"/>
      <c r="H93" s="8"/>
    </row>
    <row r="94" spans="1:8" hidden="1" outlineLevel="1" x14ac:dyDescent="0.2">
      <c r="A94" s="17">
        <v>32051</v>
      </c>
      <c r="B94" s="5"/>
      <c r="C94" s="5"/>
      <c r="D94" s="6"/>
      <c r="E94" s="7"/>
      <c r="F94" s="6"/>
      <c r="G94" s="6"/>
      <c r="H94" s="8"/>
    </row>
    <row r="95" spans="1:8" hidden="1" outlineLevel="1" x14ac:dyDescent="0.2">
      <c r="A95" s="17">
        <v>32082</v>
      </c>
      <c r="B95" s="5"/>
      <c r="C95" s="5"/>
      <c r="D95" s="6"/>
      <c r="E95" s="7"/>
      <c r="F95" s="6"/>
      <c r="G95" s="6"/>
      <c r="H95" s="8"/>
    </row>
    <row r="96" spans="1:8" hidden="1" outlineLevel="1" x14ac:dyDescent="0.2">
      <c r="A96" s="17">
        <v>32112</v>
      </c>
      <c r="B96" s="5"/>
      <c r="C96" s="5"/>
      <c r="D96" s="6"/>
      <c r="E96" s="7"/>
      <c r="F96" s="6"/>
      <c r="G96" s="6"/>
      <c r="H96" s="8"/>
    </row>
    <row r="97" spans="1:8" collapsed="1" x14ac:dyDescent="0.2">
      <c r="A97" s="18" t="s">
        <v>22</v>
      </c>
      <c r="B97" s="14"/>
      <c r="C97" s="14"/>
      <c r="D97" s="14"/>
      <c r="E97" s="15"/>
      <c r="F97" s="14"/>
      <c r="G97" s="16"/>
    </row>
    <row r="98" spans="1:8" ht="20.100000000000001" hidden="1" customHeight="1" outlineLevel="1" x14ac:dyDescent="0.2">
      <c r="A98" s="17">
        <v>32143</v>
      </c>
      <c r="B98" s="5"/>
      <c r="C98" s="5"/>
      <c r="D98" s="6"/>
      <c r="E98" s="7"/>
      <c r="F98" s="6"/>
      <c r="G98" s="6"/>
      <c r="H98" s="8"/>
    </row>
    <row r="99" spans="1:8" hidden="1" outlineLevel="1" x14ac:dyDescent="0.2">
      <c r="A99" s="17">
        <v>32174</v>
      </c>
      <c r="B99" s="5"/>
      <c r="C99" s="5"/>
      <c r="D99" s="6"/>
      <c r="E99" s="7"/>
      <c r="F99" s="6"/>
      <c r="G99" s="6"/>
      <c r="H99" s="8"/>
    </row>
    <row r="100" spans="1:8" hidden="1" outlineLevel="1" x14ac:dyDescent="0.2">
      <c r="A100" s="17">
        <v>32203</v>
      </c>
      <c r="B100" s="5"/>
      <c r="C100" s="5"/>
      <c r="D100" s="6"/>
      <c r="E100" s="7"/>
      <c r="F100" s="6"/>
      <c r="G100" s="6"/>
      <c r="H100" s="8"/>
    </row>
    <row r="101" spans="1:8" hidden="1" outlineLevel="1" x14ac:dyDescent="0.2">
      <c r="A101" s="17">
        <v>32234</v>
      </c>
      <c r="B101" s="5"/>
      <c r="C101" s="5"/>
      <c r="D101" s="6"/>
      <c r="E101" s="7"/>
      <c r="F101" s="6"/>
      <c r="G101" s="6"/>
      <c r="H101" s="8"/>
    </row>
    <row r="102" spans="1:8" hidden="1" outlineLevel="1" x14ac:dyDescent="0.2">
      <c r="A102" s="17">
        <v>32264</v>
      </c>
      <c r="B102" s="5"/>
      <c r="C102" s="5"/>
      <c r="D102" s="6"/>
      <c r="E102" s="7"/>
      <c r="F102" s="6"/>
      <c r="G102" s="6"/>
      <c r="H102" s="8"/>
    </row>
    <row r="103" spans="1:8" hidden="1" outlineLevel="1" x14ac:dyDescent="0.2">
      <c r="A103" s="17">
        <v>32295</v>
      </c>
      <c r="B103" s="5"/>
      <c r="C103" s="5"/>
      <c r="D103" s="6"/>
      <c r="E103" s="7"/>
      <c r="F103" s="6"/>
      <c r="G103" s="6"/>
      <c r="H103" s="8"/>
    </row>
    <row r="104" spans="1:8" hidden="1" outlineLevel="1" x14ac:dyDescent="0.2">
      <c r="A104" s="17">
        <v>32325</v>
      </c>
      <c r="B104" s="5"/>
      <c r="C104" s="5"/>
      <c r="D104" s="6"/>
      <c r="E104" s="7"/>
      <c r="F104" s="6"/>
      <c r="G104" s="6"/>
      <c r="H104" s="8"/>
    </row>
    <row r="105" spans="1:8" hidden="1" outlineLevel="1" x14ac:dyDescent="0.2">
      <c r="A105" s="17">
        <v>32356</v>
      </c>
      <c r="B105" s="5"/>
      <c r="C105" s="5"/>
      <c r="D105" s="6"/>
      <c r="E105" s="7"/>
      <c r="F105" s="6"/>
      <c r="G105" s="6"/>
      <c r="H105" s="8"/>
    </row>
    <row r="106" spans="1:8" hidden="1" outlineLevel="1" x14ac:dyDescent="0.2">
      <c r="A106" s="17">
        <v>32387</v>
      </c>
      <c r="B106" s="5"/>
      <c r="C106" s="5"/>
      <c r="D106" s="6"/>
      <c r="E106" s="7"/>
      <c r="F106" s="6"/>
      <c r="G106" s="6"/>
      <c r="H106" s="8"/>
    </row>
    <row r="107" spans="1:8" hidden="1" outlineLevel="1" x14ac:dyDescent="0.2">
      <c r="A107" s="17">
        <v>32417</v>
      </c>
      <c r="B107" s="5"/>
      <c r="C107" s="5"/>
      <c r="D107" s="6"/>
      <c r="E107" s="7"/>
      <c r="F107" s="6"/>
      <c r="G107" s="6"/>
      <c r="H107" s="8"/>
    </row>
    <row r="108" spans="1:8" hidden="1" outlineLevel="1" x14ac:dyDescent="0.2">
      <c r="A108" s="17">
        <v>32448</v>
      </c>
      <c r="B108" s="5"/>
      <c r="C108" s="5"/>
      <c r="D108" s="6"/>
      <c r="E108" s="7"/>
      <c r="F108" s="6"/>
      <c r="G108" s="6"/>
      <c r="H108" s="8"/>
    </row>
    <row r="109" spans="1:8" hidden="1" outlineLevel="1" x14ac:dyDescent="0.2">
      <c r="A109" s="17">
        <v>32478</v>
      </c>
      <c r="B109" s="5"/>
      <c r="C109" s="5"/>
      <c r="D109" s="6"/>
      <c r="E109" s="7"/>
      <c r="F109" s="6"/>
      <c r="G109" s="6"/>
      <c r="H109" s="8"/>
    </row>
    <row r="110" spans="1:8" collapsed="1" x14ac:dyDescent="0.2">
      <c r="A110" s="18" t="s">
        <v>23</v>
      </c>
      <c r="B110" s="14"/>
      <c r="C110" s="14"/>
      <c r="D110" s="14"/>
      <c r="E110" s="15"/>
      <c r="F110" s="14"/>
      <c r="G110" s="16"/>
    </row>
    <row r="111" spans="1:8" ht="20.100000000000001" hidden="1" customHeight="1" outlineLevel="1" x14ac:dyDescent="0.2">
      <c r="A111" s="17">
        <v>32509</v>
      </c>
      <c r="B111" s="5"/>
      <c r="C111" s="5"/>
      <c r="D111" s="6"/>
      <c r="E111" s="7"/>
      <c r="F111" s="6"/>
      <c r="G111" s="6"/>
      <c r="H111" s="8"/>
    </row>
    <row r="112" spans="1:8" hidden="1" outlineLevel="1" x14ac:dyDescent="0.2">
      <c r="A112" s="17">
        <v>32540</v>
      </c>
      <c r="B112" s="5"/>
      <c r="C112" s="5"/>
      <c r="D112" s="6"/>
      <c r="E112" s="7"/>
      <c r="F112" s="6"/>
      <c r="G112" s="6"/>
      <c r="H112" s="8"/>
    </row>
    <row r="113" spans="1:8" hidden="1" outlineLevel="1" x14ac:dyDescent="0.2">
      <c r="A113" s="17">
        <v>32568</v>
      </c>
      <c r="B113" s="5"/>
      <c r="C113" s="5"/>
      <c r="D113" s="6"/>
      <c r="E113" s="7"/>
      <c r="F113" s="6"/>
      <c r="G113" s="6"/>
      <c r="H113" s="8"/>
    </row>
    <row r="114" spans="1:8" hidden="1" outlineLevel="1" x14ac:dyDescent="0.2">
      <c r="A114" s="17">
        <v>32599</v>
      </c>
      <c r="B114" s="5"/>
      <c r="C114" s="5"/>
      <c r="D114" s="6"/>
      <c r="E114" s="7"/>
      <c r="F114" s="6"/>
      <c r="G114" s="6"/>
      <c r="H114" s="8"/>
    </row>
    <row r="115" spans="1:8" hidden="1" outlineLevel="1" x14ac:dyDescent="0.2">
      <c r="A115" s="17">
        <v>32629</v>
      </c>
      <c r="B115" s="5"/>
      <c r="C115" s="5"/>
      <c r="D115" s="6"/>
      <c r="E115" s="7"/>
      <c r="F115" s="6"/>
      <c r="G115" s="6"/>
      <c r="H115" s="8"/>
    </row>
    <row r="116" spans="1:8" hidden="1" outlineLevel="1" x14ac:dyDescent="0.2">
      <c r="A116" s="17">
        <v>32660</v>
      </c>
      <c r="B116" s="5"/>
      <c r="C116" s="5"/>
      <c r="D116" s="6"/>
      <c r="E116" s="7"/>
      <c r="F116" s="6"/>
      <c r="G116" s="6"/>
      <c r="H116" s="8"/>
    </row>
    <row r="117" spans="1:8" hidden="1" outlineLevel="1" x14ac:dyDescent="0.2">
      <c r="A117" s="17">
        <v>32690</v>
      </c>
      <c r="B117" s="5"/>
      <c r="C117" s="5"/>
      <c r="D117" s="6"/>
      <c r="E117" s="7"/>
      <c r="F117" s="6"/>
      <c r="G117" s="6"/>
      <c r="H117" s="8"/>
    </row>
    <row r="118" spans="1:8" hidden="1" outlineLevel="1" x14ac:dyDescent="0.2">
      <c r="A118" s="17">
        <v>32721</v>
      </c>
      <c r="B118" s="5"/>
      <c r="C118" s="5"/>
      <c r="D118" s="6"/>
      <c r="E118" s="7"/>
      <c r="F118" s="6"/>
      <c r="G118" s="6"/>
      <c r="H118" s="8"/>
    </row>
    <row r="119" spans="1:8" hidden="1" outlineLevel="1" x14ac:dyDescent="0.2">
      <c r="A119" s="17">
        <v>32752</v>
      </c>
      <c r="B119" s="5"/>
      <c r="C119" s="5"/>
      <c r="D119" s="6"/>
      <c r="E119" s="7"/>
      <c r="F119" s="6"/>
      <c r="G119" s="6"/>
      <c r="H119" s="8"/>
    </row>
    <row r="120" spans="1:8" hidden="1" outlineLevel="1" x14ac:dyDescent="0.2">
      <c r="A120" s="17">
        <v>32782</v>
      </c>
      <c r="B120" s="5"/>
      <c r="C120" s="5"/>
      <c r="D120" s="6"/>
      <c r="E120" s="7"/>
      <c r="F120" s="6"/>
      <c r="G120" s="6"/>
      <c r="H120" s="8"/>
    </row>
    <row r="121" spans="1:8" hidden="1" outlineLevel="1" x14ac:dyDescent="0.2">
      <c r="A121" s="17">
        <v>32813</v>
      </c>
      <c r="B121" s="5"/>
      <c r="C121" s="5"/>
      <c r="D121" s="6"/>
      <c r="E121" s="7"/>
      <c r="F121" s="6"/>
      <c r="G121" s="6"/>
      <c r="H121" s="8"/>
    </row>
    <row r="122" spans="1:8" hidden="1" outlineLevel="1" x14ac:dyDescent="0.2">
      <c r="A122" s="17">
        <v>32843</v>
      </c>
      <c r="B122" s="5"/>
      <c r="C122" s="5"/>
      <c r="D122" s="6"/>
      <c r="E122" s="7"/>
      <c r="F122" s="6"/>
      <c r="G122" s="6"/>
      <c r="H122" s="8"/>
    </row>
    <row r="123" spans="1:8" collapsed="1" x14ac:dyDescent="0.2">
      <c r="A123" s="18" t="s">
        <v>24</v>
      </c>
      <c r="B123" s="14"/>
      <c r="C123" s="14"/>
      <c r="D123" s="14"/>
      <c r="E123" s="15"/>
      <c r="F123" s="14"/>
      <c r="G123" s="16"/>
    </row>
    <row r="124" spans="1:8" ht="20.100000000000001" hidden="1" customHeight="1" outlineLevel="1" x14ac:dyDescent="0.2">
      <c r="A124" s="17">
        <v>32874</v>
      </c>
      <c r="B124" s="5"/>
      <c r="C124" s="5"/>
      <c r="D124" s="6"/>
      <c r="E124" s="7"/>
      <c r="F124" s="6"/>
      <c r="G124" s="6"/>
      <c r="H124" s="8"/>
    </row>
    <row r="125" spans="1:8" hidden="1" outlineLevel="1" x14ac:dyDescent="0.2">
      <c r="A125" s="17">
        <v>32905</v>
      </c>
      <c r="B125" s="5"/>
      <c r="C125" s="5"/>
      <c r="D125" s="6"/>
      <c r="E125" s="7"/>
      <c r="F125" s="6"/>
      <c r="G125" s="6"/>
      <c r="H125" s="8"/>
    </row>
    <row r="126" spans="1:8" hidden="1" outlineLevel="1" x14ac:dyDescent="0.2">
      <c r="A126" s="17">
        <v>32933</v>
      </c>
      <c r="B126" s="5"/>
      <c r="C126" s="5"/>
      <c r="D126" s="6"/>
      <c r="E126" s="7"/>
      <c r="F126" s="6"/>
      <c r="G126" s="6"/>
      <c r="H126" s="8"/>
    </row>
    <row r="127" spans="1:8" hidden="1" outlineLevel="1" x14ac:dyDescent="0.2">
      <c r="A127" s="17">
        <v>32964</v>
      </c>
      <c r="B127" s="5"/>
      <c r="C127" s="5"/>
      <c r="D127" s="6"/>
      <c r="E127" s="7"/>
      <c r="F127" s="6"/>
      <c r="G127" s="6"/>
      <c r="H127" s="8"/>
    </row>
    <row r="128" spans="1:8" hidden="1" outlineLevel="1" x14ac:dyDescent="0.2">
      <c r="A128" s="17">
        <v>32994</v>
      </c>
      <c r="B128" s="5"/>
      <c r="C128" s="5"/>
      <c r="D128" s="6"/>
      <c r="E128" s="7"/>
      <c r="F128" s="6"/>
      <c r="G128" s="6"/>
      <c r="H128" s="8"/>
    </row>
    <row r="129" spans="1:8" hidden="1" outlineLevel="1" x14ac:dyDescent="0.2">
      <c r="A129" s="17">
        <v>33025</v>
      </c>
      <c r="B129" s="5"/>
      <c r="C129" s="5"/>
      <c r="D129" s="6"/>
      <c r="E129" s="7"/>
      <c r="F129" s="6"/>
      <c r="G129" s="6"/>
      <c r="H129" s="8"/>
    </row>
    <row r="130" spans="1:8" hidden="1" outlineLevel="1" x14ac:dyDescent="0.2">
      <c r="A130" s="17">
        <v>33055</v>
      </c>
      <c r="B130" s="5"/>
      <c r="C130" s="5"/>
      <c r="D130" s="6"/>
      <c r="E130" s="7"/>
      <c r="F130" s="6"/>
      <c r="G130" s="6"/>
      <c r="H130" s="8"/>
    </row>
    <row r="131" spans="1:8" hidden="1" outlineLevel="1" x14ac:dyDescent="0.2">
      <c r="A131" s="17">
        <v>33086</v>
      </c>
      <c r="B131" s="5"/>
      <c r="C131" s="5"/>
      <c r="D131" s="6"/>
      <c r="E131" s="7"/>
      <c r="F131" s="6"/>
      <c r="G131" s="6"/>
      <c r="H131" s="8"/>
    </row>
    <row r="132" spans="1:8" hidden="1" outlineLevel="1" x14ac:dyDescent="0.2">
      <c r="A132" s="17">
        <v>33117</v>
      </c>
      <c r="B132" s="5"/>
      <c r="C132" s="5"/>
      <c r="D132" s="6"/>
      <c r="E132" s="7"/>
      <c r="F132" s="6"/>
      <c r="G132" s="6"/>
      <c r="H132" s="8"/>
    </row>
    <row r="133" spans="1:8" hidden="1" outlineLevel="1" x14ac:dyDescent="0.2">
      <c r="A133" s="17">
        <v>33147</v>
      </c>
      <c r="B133" s="5"/>
      <c r="C133" s="5"/>
      <c r="D133" s="6"/>
      <c r="E133" s="7"/>
      <c r="F133" s="6"/>
      <c r="G133" s="6"/>
      <c r="H133" s="8"/>
    </row>
    <row r="134" spans="1:8" hidden="1" outlineLevel="1" x14ac:dyDescent="0.2">
      <c r="A134" s="17">
        <v>33178</v>
      </c>
      <c r="B134" s="5"/>
      <c r="C134" s="5"/>
      <c r="D134" s="6"/>
      <c r="E134" s="7"/>
      <c r="F134" s="6"/>
      <c r="G134" s="6"/>
      <c r="H134" s="8"/>
    </row>
    <row r="135" spans="1:8" hidden="1" outlineLevel="1" x14ac:dyDescent="0.2">
      <c r="A135" s="17">
        <v>33208</v>
      </c>
      <c r="B135" s="5"/>
      <c r="C135" s="5"/>
      <c r="D135" s="6"/>
      <c r="E135" s="7"/>
      <c r="F135" s="6"/>
      <c r="G135" s="6"/>
      <c r="H135" s="8"/>
    </row>
    <row r="136" spans="1:8" collapsed="1" x14ac:dyDescent="0.2">
      <c r="A136" s="18" t="s">
        <v>25</v>
      </c>
      <c r="B136" s="14"/>
      <c r="C136" s="14"/>
      <c r="D136" s="14"/>
      <c r="E136" s="15"/>
      <c r="F136" s="14"/>
      <c r="G136" s="16"/>
    </row>
    <row r="137" spans="1:8" ht="20.100000000000001" hidden="1" customHeight="1" outlineLevel="1" x14ac:dyDescent="0.2">
      <c r="A137" s="17">
        <v>33239</v>
      </c>
      <c r="B137" s="5"/>
      <c r="C137" s="5"/>
      <c r="D137" s="6"/>
      <c r="E137" s="7"/>
      <c r="F137" s="6"/>
      <c r="G137" s="6"/>
      <c r="H137" s="8"/>
    </row>
    <row r="138" spans="1:8" hidden="1" outlineLevel="1" x14ac:dyDescent="0.2">
      <c r="A138" s="17">
        <v>33270</v>
      </c>
      <c r="B138" s="5"/>
      <c r="C138" s="5"/>
      <c r="D138" s="6"/>
      <c r="E138" s="7"/>
      <c r="F138" s="6"/>
      <c r="G138" s="6"/>
      <c r="H138" s="8"/>
    </row>
    <row r="139" spans="1:8" hidden="1" outlineLevel="1" x14ac:dyDescent="0.2">
      <c r="A139" s="17">
        <v>33298</v>
      </c>
      <c r="B139" s="5"/>
      <c r="C139" s="5"/>
      <c r="D139" s="6"/>
      <c r="E139" s="7"/>
      <c r="F139" s="6"/>
      <c r="G139" s="6"/>
      <c r="H139" s="8"/>
    </row>
    <row r="140" spans="1:8" hidden="1" outlineLevel="1" x14ac:dyDescent="0.2">
      <c r="A140" s="17">
        <v>33329</v>
      </c>
      <c r="B140" s="5"/>
      <c r="C140" s="5"/>
      <c r="D140" s="6"/>
      <c r="E140" s="7"/>
      <c r="F140" s="6"/>
      <c r="G140" s="6"/>
      <c r="H140" s="8"/>
    </row>
    <row r="141" spans="1:8" hidden="1" outlineLevel="1" x14ac:dyDescent="0.2">
      <c r="A141" s="17">
        <v>33359</v>
      </c>
      <c r="B141" s="5"/>
      <c r="C141" s="5"/>
      <c r="D141" s="6"/>
      <c r="E141" s="7"/>
      <c r="F141" s="6"/>
      <c r="G141" s="6"/>
      <c r="H141" s="8"/>
    </row>
    <row r="142" spans="1:8" hidden="1" outlineLevel="1" x14ac:dyDescent="0.2">
      <c r="A142" s="17">
        <v>33390</v>
      </c>
      <c r="B142" s="5"/>
      <c r="C142" s="5"/>
      <c r="D142" s="6"/>
      <c r="E142" s="7"/>
      <c r="F142" s="6"/>
      <c r="G142" s="6"/>
      <c r="H142" s="8"/>
    </row>
    <row r="143" spans="1:8" hidden="1" outlineLevel="1" x14ac:dyDescent="0.2">
      <c r="A143" s="17">
        <v>33420</v>
      </c>
      <c r="B143" s="5"/>
      <c r="C143" s="5"/>
      <c r="D143" s="6"/>
      <c r="E143" s="7"/>
      <c r="F143" s="6"/>
      <c r="G143" s="6"/>
      <c r="H143" s="8"/>
    </row>
    <row r="144" spans="1:8" hidden="1" outlineLevel="1" x14ac:dyDescent="0.2">
      <c r="A144" s="17">
        <v>33451</v>
      </c>
      <c r="B144" s="5"/>
      <c r="C144" s="5"/>
      <c r="D144" s="6"/>
      <c r="E144" s="7"/>
      <c r="F144" s="6"/>
      <c r="G144" s="6"/>
      <c r="H144" s="8"/>
    </row>
    <row r="145" spans="1:8" hidden="1" outlineLevel="1" x14ac:dyDescent="0.2">
      <c r="A145" s="17">
        <v>33482</v>
      </c>
      <c r="B145" s="5"/>
      <c r="C145" s="5"/>
      <c r="D145" s="6"/>
      <c r="E145" s="7"/>
      <c r="F145" s="6"/>
      <c r="G145" s="6"/>
      <c r="H145" s="8"/>
    </row>
    <row r="146" spans="1:8" hidden="1" outlineLevel="1" x14ac:dyDescent="0.2">
      <c r="A146" s="17">
        <v>33512</v>
      </c>
      <c r="B146" s="5"/>
      <c r="C146" s="5"/>
      <c r="D146" s="6"/>
      <c r="E146" s="7"/>
      <c r="F146" s="6"/>
      <c r="G146" s="6"/>
      <c r="H146" s="8"/>
    </row>
    <row r="147" spans="1:8" hidden="1" outlineLevel="1" x14ac:dyDescent="0.2">
      <c r="A147" s="17">
        <v>33543</v>
      </c>
      <c r="B147" s="5"/>
      <c r="C147" s="5"/>
      <c r="D147" s="6"/>
      <c r="E147" s="7"/>
      <c r="F147" s="6"/>
      <c r="G147" s="6"/>
      <c r="H147" s="8"/>
    </row>
    <row r="148" spans="1:8" hidden="1" outlineLevel="1" x14ac:dyDescent="0.2">
      <c r="A148" s="17">
        <v>33573</v>
      </c>
      <c r="B148" s="5"/>
      <c r="C148" s="5"/>
      <c r="D148" s="6"/>
      <c r="E148" s="7"/>
      <c r="F148" s="6"/>
      <c r="G148" s="6"/>
      <c r="H148" s="8"/>
    </row>
    <row r="149" spans="1:8" collapsed="1" x14ac:dyDescent="0.2">
      <c r="A149" s="18" t="s">
        <v>26</v>
      </c>
      <c r="B149" s="14"/>
      <c r="C149" s="14"/>
      <c r="D149" s="14"/>
      <c r="E149" s="15"/>
      <c r="F149" s="14"/>
      <c r="G149" s="16"/>
    </row>
    <row r="150" spans="1:8" ht="20.100000000000001" hidden="1" customHeight="1" outlineLevel="1" x14ac:dyDescent="0.2">
      <c r="A150" s="17">
        <v>33604</v>
      </c>
      <c r="B150" s="5"/>
      <c r="C150" s="5"/>
      <c r="D150" s="6"/>
      <c r="E150" s="7"/>
      <c r="F150" s="6"/>
      <c r="G150" s="6"/>
    </row>
    <row r="151" spans="1:8" hidden="1" outlineLevel="1" x14ac:dyDescent="0.2">
      <c r="A151" s="17">
        <v>33635</v>
      </c>
      <c r="B151" s="5"/>
      <c r="C151" s="5"/>
      <c r="D151" s="6"/>
      <c r="E151" s="7"/>
      <c r="F151" s="6"/>
      <c r="G151" s="6"/>
    </row>
    <row r="152" spans="1:8" hidden="1" outlineLevel="1" x14ac:dyDescent="0.2">
      <c r="A152" s="17">
        <v>33664</v>
      </c>
      <c r="B152" s="5"/>
      <c r="C152" s="5"/>
      <c r="D152" s="6"/>
      <c r="E152" s="7"/>
      <c r="F152" s="6"/>
      <c r="G152" s="6"/>
    </row>
    <row r="153" spans="1:8" hidden="1" outlineLevel="1" x14ac:dyDescent="0.2">
      <c r="A153" s="17">
        <v>33695</v>
      </c>
      <c r="B153" s="5"/>
      <c r="C153" s="5"/>
      <c r="D153" s="6"/>
      <c r="E153" s="7"/>
      <c r="F153" s="6"/>
      <c r="G153" s="6"/>
    </row>
    <row r="154" spans="1:8" hidden="1" outlineLevel="1" x14ac:dyDescent="0.2">
      <c r="A154" s="17">
        <v>33725</v>
      </c>
      <c r="B154" s="5"/>
      <c r="C154" s="5"/>
      <c r="D154" s="6"/>
      <c r="E154" s="7"/>
      <c r="F154" s="6"/>
      <c r="G154" s="6"/>
    </row>
    <row r="155" spans="1:8" hidden="1" outlineLevel="1" x14ac:dyDescent="0.2">
      <c r="A155" s="17">
        <v>33756</v>
      </c>
      <c r="B155" s="5"/>
      <c r="C155" s="5"/>
      <c r="D155" s="6"/>
      <c r="E155" s="7"/>
      <c r="F155" s="6"/>
      <c r="G155" s="6"/>
    </row>
    <row r="156" spans="1:8" hidden="1" outlineLevel="1" x14ac:dyDescent="0.2">
      <c r="A156" s="17">
        <v>33786</v>
      </c>
      <c r="B156" s="5"/>
      <c r="C156" s="5"/>
      <c r="D156" s="6"/>
      <c r="E156" s="7"/>
      <c r="F156" s="6"/>
      <c r="G156" s="6"/>
    </row>
    <row r="157" spans="1:8" hidden="1" outlineLevel="1" x14ac:dyDescent="0.2">
      <c r="A157" s="17">
        <v>33817</v>
      </c>
      <c r="B157" s="5"/>
      <c r="C157" s="5"/>
      <c r="D157" s="6"/>
      <c r="E157" s="7"/>
      <c r="F157" s="6"/>
      <c r="G157" s="6"/>
    </row>
    <row r="158" spans="1:8" hidden="1" outlineLevel="1" x14ac:dyDescent="0.2">
      <c r="A158" s="17">
        <v>33848</v>
      </c>
      <c r="B158" s="5"/>
      <c r="C158" s="5"/>
      <c r="D158" s="6"/>
      <c r="E158" s="7"/>
      <c r="F158" s="6"/>
      <c r="G158" s="6"/>
    </row>
    <row r="159" spans="1:8" hidden="1" outlineLevel="1" x14ac:dyDescent="0.2">
      <c r="A159" s="17">
        <v>33878</v>
      </c>
      <c r="B159" s="5"/>
      <c r="C159" s="5"/>
      <c r="D159" s="6"/>
      <c r="E159" s="7"/>
      <c r="F159" s="6"/>
      <c r="G159" s="6"/>
    </row>
    <row r="160" spans="1:8" hidden="1" outlineLevel="1" x14ac:dyDescent="0.2">
      <c r="A160" s="17">
        <v>33909</v>
      </c>
      <c r="B160" s="5"/>
      <c r="C160" s="5"/>
      <c r="D160" s="6"/>
      <c r="E160" s="7"/>
      <c r="F160" s="6"/>
      <c r="G160" s="6"/>
    </row>
    <row r="161" spans="1:7" hidden="1" outlineLevel="1" x14ac:dyDescent="0.2">
      <c r="A161" s="17">
        <v>33939</v>
      </c>
      <c r="B161" s="5"/>
      <c r="C161" s="5"/>
      <c r="D161" s="6"/>
      <c r="E161" s="7"/>
      <c r="F161" s="6"/>
      <c r="G161" s="6"/>
    </row>
    <row r="162" spans="1:7" collapsed="1" x14ac:dyDescent="0.2">
      <c r="A162" s="18" t="s">
        <v>27</v>
      </c>
      <c r="B162" s="14"/>
      <c r="C162" s="14"/>
      <c r="D162" s="14"/>
      <c r="E162" s="15"/>
      <c r="F162" s="14"/>
      <c r="G162" s="16"/>
    </row>
    <row r="163" spans="1:7" ht="20.100000000000001" hidden="1" customHeight="1" outlineLevel="1" x14ac:dyDescent="0.2">
      <c r="A163" s="17">
        <v>33970</v>
      </c>
      <c r="B163" s="5"/>
      <c r="C163" s="5"/>
      <c r="D163" s="6"/>
      <c r="E163" s="7"/>
      <c r="F163" s="6"/>
      <c r="G163" s="6"/>
    </row>
    <row r="164" spans="1:7" hidden="1" outlineLevel="1" x14ac:dyDescent="0.2">
      <c r="A164" s="17">
        <v>34001</v>
      </c>
      <c r="B164" s="5"/>
      <c r="C164" s="5"/>
      <c r="D164" s="6"/>
      <c r="E164" s="7"/>
      <c r="F164" s="6"/>
      <c r="G164" s="6"/>
    </row>
    <row r="165" spans="1:7" hidden="1" outlineLevel="1" x14ac:dyDescent="0.2">
      <c r="A165" s="17">
        <v>34029</v>
      </c>
      <c r="B165" s="5"/>
      <c r="C165" s="5"/>
      <c r="D165" s="6"/>
      <c r="E165" s="7"/>
      <c r="F165" s="6"/>
      <c r="G165" s="6"/>
    </row>
    <row r="166" spans="1:7" hidden="1" outlineLevel="1" x14ac:dyDescent="0.2">
      <c r="A166" s="17">
        <v>34060</v>
      </c>
      <c r="B166" s="5"/>
      <c r="C166" s="5"/>
      <c r="D166" s="6"/>
      <c r="E166" s="7"/>
      <c r="F166" s="6"/>
      <c r="G166" s="6"/>
    </row>
    <row r="167" spans="1:7" hidden="1" outlineLevel="1" x14ac:dyDescent="0.2">
      <c r="A167" s="17">
        <v>34090</v>
      </c>
      <c r="B167" s="5"/>
      <c r="C167" s="5"/>
      <c r="D167" s="6"/>
      <c r="E167" s="7"/>
      <c r="F167" s="6"/>
      <c r="G167" s="6"/>
    </row>
    <row r="168" spans="1:7" hidden="1" outlineLevel="1" x14ac:dyDescent="0.2">
      <c r="A168" s="17">
        <v>34121</v>
      </c>
      <c r="B168" s="5"/>
      <c r="C168" s="5"/>
      <c r="D168" s="6"/>
      <c r="E168" s="7"/>
      <c r="F168" s="6"/>
      <c r="G168" s="6"/>
    </row>
    <row r="169" spans="1:7" hidden="1" outlineLevel="1" x14ac:dyDescent="0.2">
      <c r="A169" s="17">
        <v>34151</v>
      </c>
      <c r="B169" s="5"/>
      <c r="C169" s="5"/>
      <c r="D169" s="6"/>
      <c r="E169" s="7"/>
      <c r="F169" s="6"/>
      <c r="G169" s="6"/>
    </row>
    <row r="170" spans="1:7" hidden="1" outlineLevel="1" x14ac:dyDescent="0.2">
      <c r="A170" s="17">
        <v>34182</v>
      </c>
      <c r="B170" s="5"/>
      <c r="C170" s="5"/>
      <c r="D170" s="6"/>
      <c r="E170" s="7"/>
      <c r="F170" s="6"/>
      <c r="G170" s="6"/>
    </row>
    <row r="171" spans="1:7" hidden="1" outlineLevel="1" x14ac:dyDescent="0.2">
      <c r="A171" s="17">
        <v>34213</v>
      </c>
      <c r="B171" s="5"/>
      <c r="C171" s="5"/>
      <c r="D171" s="6"/>
      <c r="E171" s="7"/>
      <c r="F171" s="6"/>
      <c r="G171" s="6"/>
    </row>
    <row r="172" spans="1:7" hidden="1" outlineLevel="1" x14ac:dyDescent="0.2">
      <c r="A172" s="17">
        <v>34243</v>
      </c>
      <c r="B172" s="5"/>
      <c r="C172" s="5"/>
      <c r="D172" s="6"/>
      <c r="E172" s="7"/>
      <c r="F172" s="6"/>
      <c r="G172" s="6"/>
    </row>
    <row r="173" spans="1:7" hidden="1" outlineLevel="1" x14ac:dyDescent="0.2">
      <c r="A173" s="17">
        <v>34274</v>
      </c>
      <c r="B173" s="5"/>
      <c r="C173" s="5"/>
      <c r="D173" s="6"/>
      <c r="E173" s="7"/>
      <c r="F173" s="6"/>
      <c r="G173" s="6"/>
    </row>
    <row r="174" spans="1:7" hidden="1" outlineLevel="1" x14ac:dyDescent="0.2">
      <c r="A174" s="17">
        <v>34304</v>
      </c>
      <c r="B174" s="5"/>
      <c r="C174" s="5"/>
      <c r="D174" s="6"/>
      <c r="E174" s="7"/>
      <c r="F174" s="6"/>
      <c r="G174" s="6"/>
    </row>
    <row r="175" spans="1:7" collapsed="1" x14ac:dyDescent="0.2">
      <c r="A175" s="18" t="s">
        <v>28</v>
      </c>
      <c r="B175" s="14"/>
      <c r="C175" s="14"/>
      <c r="D175" s="14"/>
      <c r="E175" s="15"/>
      <c r="F175" s="14"/>
      <c r="G175" s="16"/>
    </row>
    <row r="176" spans="1:7" ht="20.100000000000001" hidden="1" customHeight="1" outlineLevel="1" x14ac:dyDescent="0.2">
      <c r="A176" s="17">
        <v>34335</v>
      </c>
      <c r="B176" s="5"/>
      <c r="C176" s="5"/>
      <c r="D176" s="6"/>
      <c r="E176" s="7"/>
      <c r="F176" s="6"/>
      <c r="G176" s="6"/>
    </row>
    <row r="177" spans="1:7" hidden="1" outlineLevel="1" x14ac:dyDescent="0.2">
      <c r="A177" s="17">
        <v>34366</v>
      </c>
      <c r="B177" s="5"/>
      <c r="C177" s="5"/>
      <c r="D177" s="6"/>
      <c r="E177" s="7"/>
      <c r="F177" s="6"/>
      <c r="G177" s="6"/>
    </row>
    <row r="178" spans="1:7" hidden="1" outlineLevel="1" x14ac:dyDescent="0.2">
      <c r="A178" s="17">
        <v>34394</v>
      </c>
      <c r="B178" s="5"/>
      <c r="C178" s="5"/>
      <c r="D178" s="6"/>
      <c r="E178" s="7"/>
      <c r="F178" s="6"/>
      <c r="G178" s="6"/>
    </row>
    <row r="179" spans="1:7" hidden="1" outlineLevel="1" x14ac:dyDescent="0.2">
      <c r="A179" s="17">
        <v>34425</v>
      </c>
      <c r="B179" s="5"/>
      <c r="C179" s="5"/>
      <c r="D179" s="6"/>
      <c r="E179" s="7"/>
      <c r="F179" s="6"/>
      <c r="G179" s="6"/>
    </row>
    <row r="180" spans="1:7" hidden="1" outlineLevel="1" x14ac:dyDescent="0.2">
      <c r="A180" s="17">
        <v>34455</v>
      </c>
      <c r="B180" s="5"/>
      <c r="C180" s="5"/>
      <c r="D180" s="6"/>
      <c r="E180" s="7"/>
      <c r="F180" s="6"/>
      <c r="G180" s="6"/>
    </row>
    <row r="181" spans="1:7" hidden="1" outlineLevel="1" x14ac:dyDescent="0.2">
      <c r="A181" s="17">
        <v>34486</v>
      </c>
      <c r="B181" s="5"/>
      <c r="C181" s="5"/>
      <c r="D181" s="6"/>
      <c r="E181" s="7"/>
      <c r="F181" s="6"/>
      <c r="G181" s="6"/>
    </row>
    <row r="182" spans="1:7" hidden="1" outlineLevel="1" x14ac:dyDescent="0.2">
      <c r="A182" s="17">
        <v>34516</v>
      </c>
      <c r="B182" s="5"/>
      <c r="C182" s="5"/>
      <c r="D182" s="6"/>
      <c r="E182" s="7"/>
      <c r="F182" s="6"/>
      <c r="G182" s="6"/>
    </row>
    <row r="183" spans="1:7" hidden="1" outlineLevel="1" x14ac:dyDescent="0.2">
      <c r="A183" s="17">
        <v>34547</v>
      </c>
      <c r="B183" s="5"/>
      <c r="C183" s="5"/>
      <c r="D183" s="6"/>
      <c r="E183" s="7"/>
      <c r="F183" s="6"/>
      <c r="G183" s="6"/>
    </row>
    <row r="184" spans="1:7" hidden="1" outlineLevel="1" x14ac:dyDescent="0.2">
      <c r="A184" s="17">
        <v>34578</v>
      </c>
      <c r="B184" s="5"/>
      <c r="C184" s="5"/>
      <c r="D184" s="6"/>
      <c r="E184" s="7"/>
      <c r="F184" s="6"/>
      <c r="G184" s="6"/>
    </row>
    <row r="185" spans="1:7" hidden="1" outlineLevel="1" x14ac:dyDescent="0.2">
      <c r="A185" s="17">
        <v>34608</v>
      </c>
      <c r="B185" s="5"/>
      <c r="C185" s="5"/>
      <c r="D185" s="6"/>
      <c r="E185" s="7"/>
      <c r="F185" s="6"/>
      <c r="G185" s="6"/>
    </row>
    <row r="186" spans="1:7" hidden="1" outlineLevel="1" x14ac:dyDescent="0.2">
      <c r="A186" s="17">
        <v>34639</v>
      </c>
      <c r="B186" s="5"/>
      <c r="C186" s="5"/>
      <c r="D186" s="6"/>
      <c r="E186" s="7"/>
      <c r="F186" s="6"/>
      <c r="G186" s="6"/>
    </row>
    <row r="187" spans="1:7" hidden="1" outlineLevel="1" x14ac:dyDescent="0.2">
      <c r="A187" s="17">
        <v>34669</v>
      </c>
      <c r="B187" s="5"/>
      <c r="C187" s="5"/>
      <c r="D187" s="6"/>
      <c r="E187" s="7"/>
      <c r="F187" s="6"/>
      <c r="G187" s="6"/>
    </row>
    <row r="188" spans="1:7" collapsed="1" x14ac:dyDescent="0.2">
      <c r="A188" s="18" t="s">
        <v>29</v>
      </c>
      <c r="B188" s="14"/>
      <c r="C188" s="14"/>
      <c r="D188" s="14"/>
      <c r="E188" s="15"/>
      <c r="F188" s="14"/>
      <c r="G188" s="16"/>
    </row>
    <row r="189" spans="1:7" ht="20.100000000000001" customHeight="1" outlineLevel="1" x14ac:dyDescent="0.2">
      <c r="A189" s="17">
        <v>34700</v>
      </c>
      <c r="B189" s="5"/>
      <c r="C189" s="5"/>
      <c r="D189" s="6"/>
      <c r="E189" s="7"/>
      <c r="F189" s="6"/>
      <c r="G189" s="6"/>
    </row>
    <row r="190" spans="1:7" outlineLevel="1" x14ac:dyDescent="0.2">
      <c r="A190" s="17">
        <v>34731</v>
      </c>
      <c r="B190" s="5"/>
      <c r="C190" s="5"/>
      <c r="D190" s="6"/>
      <c r="E190" s="7"/>
      <c r="F190" s="6"/>
      <c r="G190" s="6"/>
    </row>
    <row r="191" spans="1:7" outlineLevel="1" x14ac:dyDescent="0.2">
      <c r="A191" s="17">
        <v>34759</v>
      </c>
      <c r="B191" s="5"/>
      <c r="C191" s="5"/>
      <c r="D191" s="6"/>
      <c r="E191" s="7"/>
      <c r="F191" s="6"/>
      <c r="G191" s="6"/>
    </row>
    <row r="192" spans="1:7" outlineLevel="1" x14ac:dyDescent="0.2">
      <c r="A192" s="17">
        <v>34790</v>
      </c>
      <c r="B192" s="5"/>
      <c r="C192" s="5"/>
      <c r="D192" s="6"/>
      <c r="E192" s="7"/>
      <c r="F192" s="6"/>
      <c r="G192" s="6"/>
    </row>
    <row r="193" spans="1:8" outlineLevel="1" x14ac:dyDescent="0.2">
      <c r="A193" s="17">
        <v>34820</v>
      </c>
      <c r="B193" s="5"/>
      <c r="C193" s="5"/>
      <c r="D193" s="6"/>
      <c r="E193" s="7"/>
      <c r="F193" s="6"/>
      <c r="G193" s="6"/>
    </row>
    <row r="194" spans="1:8" outlineLevel="1" x14ac:dyDescent="0.2">
      <c r="A194" s="17">
        <v>34851</v>
      </c>
      <c r="B194" s="5"/>
      <c r="C194" s="5"/>
      <c r="D194" s="6"/>
      <c r="E194" s="7"/>
      <c r="F194" s="6"/>
      <c r="G194" s="6"/>
    </row>
    <row r="195" spans="1:8" outlineLevel="1" x14ac:dyDescent="0.2">
      <c r="A195" s="17">
        <v>34881</v>
      </c>
      <c r="B195" s="5"/>
      <c r="C195" s="5"/>
      <c r="D195" s="6"/>
      <c r="E195" s="7"/>
      <c r="F195" s="6"/>
      <c r="G195" s="6"/>
    </row>
    <row r="196" spans="1:8" outlineLevel="1" x14ac:dyDescent="0.2">
      <c r="A196" s="17">
        <v>34912</v>
      </c>
      <c r="B196" s="5"/>
      <c r="C196" s="5"/>
      <c r="D196" s="6"/>
      <c r="E196" s="7"/>
      <c r="F196" s="6"/>
      <c r="G196" s="6"/>
    </row>
    <row r="197" spans="1:8" outlineLevel="1" x14ac:dyDescent="0.2">
      <c r="A197" s="17">
        <v>34943</v>
      </c>
      <c r="B197" s="5"/>
      <c r="C197" s="5"/>
      <c r="D197" s="6"/>
      <c r="E197" s="7"/>
      <c r="F197" s="6"/>
      <c r="G197" s="6"/>
    </row>
    <row r="198" spans="1:8" outlineLevel="1" x14ac:dyDescent="0.2">
      <c r="A198" s="17">
        <v>34973</v>
      </c>
      <c r="B198" s="5"/>
      <c r="C198" s="5"/>
      <c r="D198" s="6"/>
      <c r="E198" s="7"/>
      <c r="F198" s="6"/>
      <c r="G198" s="6"/>
    </row>
    <row r="199" spans="1:8" outlineLevel="1" x14ac:dyDescent="0.2">
      <c r="A199" s="17">
        <v>35004</v>
      </c>
      <c r="B199" s="5"/>
      <c r="C199" s="5"/>
      <c r="D199" s="6"/>
      <c r="E199" s="7"/>
      <c r="F199" s="6"/>
      <c r="G199" s="6"/>
    </row>
    <row r="200" spans="1:8" outlineLevel="1" x14ac:dyDescent="0.2">
      <c r="A200" s="17">
        <v>35034</v>
      </c>
      <c r="B200" s="5"/>
      <c r="C200" s="5"/>
      <c r="D200" s="6"/>
      <c r="E200" s="7"/>
      <c r="F200" s="6"/>
      <c r="G200" s="6"/>
    </row>
    <row r="201" spans="1:8" x14ac:dyDescent="0.2">
      <c r="A201" s="18" t="s">
        <v>30</v>
      </c>
      <c r="B201" s="14"/>
      <c r="C201" s="14"/>
      <c r="D201" s="14"/>
      <c r="E201" s="15"/>
      <c r="F201" s="14"/>
      <c r="G201" s="16"/>
    </row>
    <row r="202" spans="1:8" ht="20.100000000000001" customHeight="1" outlineLevel="1" x14ac:dyDescent="0.2">
      <c r="A202" s="17">
        <v>35065</v>
      </c>
      <c r="B202" s="5"/>
      <c r="C202" s="5"/>
      <c r="D202" s="6"/>
      <c r="E202" s="7"/>
      <c r="F202" s="6"/>
      <c r="G202" s="6"/>
      <c r="H202" s="8"/>
    </row>
    <row r="203" spans="1:8" outlineLevel="1" x14ac:dyDescent="0.2">
      <c r="A203" s="17">
        <v>35096</v>
      </c>
      <c r="B203" s="5"/>
      <c r="C203" s="5"/>
      <c r="D203" s="6"/>
      <c r="E203" s="7"/>
      <c r="F203" s="6"/>
      <c r="G203" s="6"/>
      <c r="H203" s="8"/>
    </row>
    <row r="204" spans="1:8" outlineLevel="1" x14ac:dyDescent="0.2">
      <c r="A204" s="17">
        <v>35125</v>
      </c>
      <c r="B204" s="5"/>
      <c r="C204" s="5"/>
      <c r="D204" s="6"/>
      <c r="E204" s="7"/>
      <c r="F204" s="6"/>
      <c r="G204" s="6"/>
      <c r="H204" s="8"/>
    </row>
    <row r="205" spans="1:8" outlineLevel="1" x14ac:dyDescent="0.2">
      <c r="A205" s="17">
        <v>35156</v>
      </c>
      <c r="B205" s="5"/>
      <c r="C205" s="5"/>
      <c r="D205" s="6"/>
      <c r="E205" s="7"/>
      <c r="F205" s="6"/>
      <c r="G205" s="6"/>
      <c r="H205" s="8"/>
    </row>
    <row r="206" spans="1:8" outlineLevel="1" x14ac:dyDescent="0.2">
      <c r="A206" s="17">
        <v>35186</v>
      </c>
      <c r="B206" s="5"/>
      <c r="C206" s="5"/>
      <c r="D206" s="6"/>
      <c r="E206" s="7"/>
      <c r="F206" s="6"/>
      <c r="G206" s="6"/>
      <c r="H206" s="8"/>
    </row>
    <row r="207" spans="1:8" outlineLevel="1" x14ac:dyDescent="0.2">
      <c r="A207" s="17">
        <v>35217</v>
      </c>
      <c r="B207" s="5"/>
      <c r="C207" s="5"/>
      <c r="D207" s="6"/>
      <c r="E207" s="7"/>
      <c r="F207" s="6"/>
      <c r="G207" s="6"/>
      <c r="H207" s="8"/>
    </row>
    <row r="208" spans="1:8" outlineLevel="1" x14ac:dyDescent="0.2">
      <c r="A208" s="17">
        <v>35247</v>
      </c>
      <c r="B208" s="5"/>
      <c r="C208" s="5"/>
      <c r="D208" s="6"/>
      <c r="E208" s="7"/>
      <c r="F208" s="6"/>
      <c r="G208" s="6"/>
      <c r="H208" s="8"/>
    </row>
    <row r="209" spans="1:8" outlineLevel="1" x14ac:dyDescent="0.2">
      <c r="A209" s="17">
        <v>35278</v>
      </c>
      <c r="B209" s="5"/>
      <c r="C209" s="5"/>
      <c r="D209" s="6"/>
      <c r="E209" s="7"/>
      <c r="F209" s="6"/>
      <c r="G209" s="6"/>
      <c r="H209" s="8"/>
    </row>
    <row r="210" spans="1:8" outlineLevel="1" x14ac:dyDescent="0.2">
      <c r="A210" s="17">
        <v>35309</v>
      </c>
      <c r="B210" s="5"/>
      <c r="C210" s="5"/>
      <c r="D210" s="6"/>
      <c r="E210" s="7"/>
      <c r="F210" s="6"/>
      <c r="G210" s="6"/>
      <c r="H210" s="8"/>
    </row>
    <row r="211" spans="1:8" outlineLevel="1" x14ac:dyDescent="0.2">
      <c r="A211" s="17">
        <v>35339</v>
      </c>
      <c r="B211" s="5"/>
      <c r="C211" s="5"/>
      <c r="D211" s="6"/>
      <c r="E211" s="7"/>
      <c r="F211" s="6"/>
      <c r="G211" s="6"/>
      <c r="H211" s="8"/>
    </row>
    <row r="212" spans="1:8" outlineLevel="1" x14ac:dyDescent="0.2">
      <c r="A212" s="17">
        <v>35370</v>
      </c>
      <c r="B212" s="5"/>
      <c r="C212" s="5"/>
      <c r="D212" s="6"/>
      <c r="E212" s="7"/>
      <c r="F212" s="6"/>
      <c r="G212" s="6"/>
      <c r="H212" s="8"/>
    </row>
    <row r="213" spans="1:8" outlineLevel="1" x14ac:dyDescent="0.2">
      <c r="A213" s="17">
        <v>35400</v>
      </c>
      <c r="B213" s="5"/>
      <c r="C213" s="5"/>
      <c r="D213" s="6"/>
      <c r="E213" s="7"/>
      <c r="F213" s="6"/>
      <c r="G213" s="6"/>
      <c r="H213" s="8"/>
    </row>
    <row r="214" spans="1:8" x14ac:dyDescent="0.2">
      <c r="A214" s="18" t="s">
        <v>31</v>
      </c>
      <c r="B214" s="14"/>
      <c r="C214" s="14"/>
      <c r="D214" s="14"/>
      <c r="E214" s="15"/>
      <c r="F214" s="14"/>
      <c r="G214" s="16"/>
    </row>
    <row r="215" spans="1:8" ht="20.100000000000001" customHeight="1" outlineLevel="1" x14ac:dyDescent="0.2">
      <c r="A215" s="17">
        <v>35431</v>
      </c>
      <c r="B215" s="5"/>
      <c r="C215" s="5"/>
      <c r="D215" s="6"/>
      <c r="E215" s="7"/>
      <c r="F215" s="6"/>
      <c r="G215" s="6"/>
      <c r="H215" s="8"/>
    </row>
    <row r="216" spans="1:8" outlineLevel="1" x14ac:dyDescent="0.2">
      <c r="A216" s="17">
        <v>35462</v>
      </c>
      <c r="B216" s="5"/>
      <c r="C216" s="5"/>
      <c r="D216" s="6"/>
      <c r="E216" s="7"/>
      <c r="F216" s="6"/>
      <c r="G216" s="6"/>
      <c r="H216" s="8"/>
    </row>
    <row r="217" spans="1:8" outlineLevel="1" x14ac:dyDescent="0.2">
      <c r="A217" s="17">
        <v>35490</v>
      </c>
      <c r="B217" s="5"/>
      <c r="C217" s="5"/>
      <c r="D217" s="6"/>
      <c r="E217" s="7"/>
      <c r="F217" s="6"/>
      <c r="G217" s="6"/>
      <c r="H217" s="8"/>
    </row>
    <row r="218" spans="1:8" outlineLevel="1" x14ac:dyDescent="0.2">
      <c r="A218" s="17">
        <v>35521</v>
      </c>
      <c r="B218" s="5"/>
      <c r="C218" s="5"/>
      <c r="D218" s="6"/>
      <c r="E218" s="7"/>
      <c r="F218" s="6"/>
      <c r="G218" s="6"/>
      <c r="H218" s="8"/>
    </row>
    <row r="219" spans="1:8" outlineLevel="1" x14ac:dyDescent="0.2">
      <c r="A219" s="17">
        <v>35551</v>
      </c>
      <c r="B219" s="5"/>
      <c r="C219" s="5"/>
      <c r="D219" s="6"/>
      <c r="E219" s="7"/>
      <c r="F219" s="6"/>
      <c r="G219" s="6"/>
      <c r="H219" s="8"/>
    </row>
    <row r="220" spans="1:8" outlineLevel="1" x14ac:dyDescent="0.2">
      <c r="A220" s="17">
        <v>35582</v>
      </c>
      <c r="B220" s="5"/>
      <c r="C220" s="5"/>
      <c r="D220" s="6"/>
      <c r="E220" s="7"/>
      <c r="F220" s="6"/>
      <c r="G220" s="6"/>
      <c r="H220" s="8"/>
    </row>
    <row r="221" spans="1:8" outlineLevel="1" x14ac:dyDescent="0.2">
      <c r="A221" s="17">
        <v>35612</v>
      </c>
      <c r="B221" s="5"/>
      <c r="C221" s="5"/>
      <c r="D221" s="6"/>
      <c r="E221" s="7"/>
      <c r="F221" s="6"/>
      <c r="G221" s="6"/>
      <c r="H221" s="8"/>
    </row>
    <row r="222" spans="1:8" outlineLevel="1" x14ac:dyDescent="0.2">
      <c r="A222" s="17">
        <v>35643</v>
      </c>
      <c r="B222" s="5"/>
      <c r="C222" s="5"/>
      <c r="D222" s="6"/>
      <c r="E222" s="7"/>
      <c r="F222" s="6"/>
      <c r="G222" s="6"/>
      <c r="H222" s="8"/>
    </row>
    <row r="223" spans="1:8" outlineLevel="1" x14ac:dyDescent="0.2">
      <c r="A223" s="17">
        <v>35674</v>
      </c>
      <c r="B223" s="5"/>
      <c r="C223" s="5"/>
      <c r="D223" s="6"/>
      <c r="E223" s="7"/>
      <c r="F223" s="6"/>
      <c r="G223" s="6"/>
      <c r="H223" s="8"/>
    </row>
    <row r="224" spans="1:8" outlineLevel="1" x14ac:dyDescent="0.2">
      <c r="A224" s="17">
        <v>35704</v>
      </c>
      <c r="B224" s="5"/>
      <c r="C224" s="5"/>
      <c r="D224" s="6"/>
      <c r="E224" s="7"/>
      <c r="F224" s="6"/>
      <c r="G224" s="6"/>
      <c r="H224" s="8"/>
    </row>
    <row r="225" spans="1:8" outlineLevel="1" x14ac:dyDescent="0.2">
      <c r="A225" s="17">
        <v>35735</v>
      </c>
      <c r="B225" s="5"/>
      <c r="C225" s="5"/>
      <c r="D225" s="6"/>
      <c r="E225" s="7"/>
      <c r="F225" s="6"/>
      <c r="G225" s="6"/>
      <c r="H225" s="8"/>
    </row>
    <row r="226" spans="1:8" outlineLevel="1" x14ac:dyDescent="0.2">
      <c r="A226" s="17">
        <v>35765</v>
      </c>
      <c r="B226" s="5"/>
      <c r="C226" s="5"/>
      <c r="D226" s="6"/>
      <c r="E226" s="7"/>
      <c r="F226" s="6"/>
      <c r="G226" s="6"/>
      <c r="H226" s="8"/>
    </row>
    <row r="227" spans="1:8" x14ac:dyDescent="0.2">
      <c r="A227" s="18" t="s">
        <v>32</v>
      </c>
      <c r="B227" s="14"/>
      <c r="C227" s="14"/>
      <c r="D227" s="14"/>
      <c r="E227" s="15"/>
      <c r="F227" s="14"/>
      <c r="G227" s="16"/>
    </row>
    <row r="228" spans="1:8" ht="20.100000000000001" hidden="1" customHeight="1" outlineLevel="1" x14ac:dyDescent="0.2">
      <c r="A228" s="17">
        <v>35796</v>
      </c>
      <c r="B228" s="5"/>
      <c r="C228" s="5"/>
      <c r="D228" s="6"/>
      <c r="E228" s="7"/>
      <c r="F228" s="6"/>
      <c r="G228" s="6"/>
      <c r="H228" s="8"/>
    </row>
    <row r="229" spans="1:8" hidden="1" outlineLevel="1" x14ac:dyDescent="0.2">
      <c r="A229" s="17">
        <v>35827</v>
      </c>
      <c r="B229" s="5"/>
      <c r="C229" s="5"/>
      <c r="D229" s="6"/>
      <c r="E229" s="7"/>
      <c r="F229" s="6"/>
      <c r="G229" s="6"/>
      <c r="H229" s="8"/>
    </row>
    <row r="230" spans="1:8" hidden="1" outlineLevel="1" x14ac:dyDescent="0.2">
      <c r="A230" s="17">
        <v>35855</v>
      </c>
      <c r="B230" s="5"/>
      <c r="C230" s="5"/>
      <c r="D230" s="6"/>
      <c r="E230" s="7"/>
      <c r="F230" s="6"/>
      <c r="G230" s="6"/>
      <c r="H230" s="8"/>
    </row>
    <row r="231" spans="1:8" hidden="1" outlineLevel="1" x14ac:dyDescent="0.2">
      <c r="A231" s="17">
        <v>35886</v>
      </c>
      <c r="B231" s="5"/>
      <c r="C231" s="5"/>
      <c r="D231" s="6"/>
      <c r="E231" s="7"/>
      <c r="F231" s="6"/>
      <c r="G231" s="6"/>
      <c r="H231" s="8"/>
    </row>
    <row r="232" spans="1:8" hidden="1" outlineLevel="1" x14ac:dyDescent="0.2">
      <c r="A232" s="17">
        <v>35916</v>
      </c>
      <c r="B232" s="5"/>
      <c r="C232" s="5"/>
      <c r="D232" s="6"/>
      <c r="E232" s="7"/>
      <c r="F232" s="6"/>
      <c r="G232" s="6"/>
      <c r="H232" s="8"/>
    </row>
    <row r="233" spans="1:8" hidden="1" outlineLevel="1" x14ac:dyDescent="0.2">
      <c r="A233" s="17">
        <v>35947</v>
      </c>
      <c r="B233" s="5"/>
      <c r="C233" s="5"/>
      <c r="D233" s="6"/>
      <c r="E233" s="7"/>
      <c r="F233" s="6"/>
      <c r="G233" s="6"/>
      <c r="H233" s="8"/>
    </row>
    <row r="234" spans="1:8" hidden="1" outlineLevel="1" x14ac:dyDescent="0.2">
      <c r="A234" s="17">
        <v>35977</v>
      </c>
      <c r="B234" s="5"/>
      <c r="C234" s="5"/>
      <c r="D234" s="6"/>
      <c r="E234" s="7"/>
      <c r="F234" s="6"/>
      <c r="G234" s="6"/>
      <c r="H234" s="8"/>
    </row>
    <row r="235" spans="1:8" hidden="1" outlineLevel="1" x14ac:dyDescent="0.2">
      <c r="A235" s="17">
        <v>36008</v>
      </c>
      <c r="B235" s="5"/>
      <c r="C235" s="5"/>
      <c r="D235" s="6"/>
      <c r="E235" s="7"/>
      <c r="F235" s="6"/>
      <c r="G235" s="6"/>
      <c r="H235" s="8"/>
    </row>
    <row r="236" spans="1:8" hidden="1" outlineLevel="1" x14ac:dyDescent="0.2">
      <c r="A236" s="17">
        <v>36039</v>
      </c>
      <c r="B236" s="5"/>
      <c r="C236" s="5"/>
      <c r="D236" s="6"/>
      <c r="E236" s="7"/>
      <c r="F236" s="6"/>
      <c r="G236" s="6"/>
      <c r="H236" s="8"/>
    </row>
    <row r="237" spans="1:8" hidden="1" outlineLevel="1" x14ac:dyDescent="0.2">
      <c r="A237" s="17">
        <v>36069</v>
      </c>
      <c r="B237" s="5"/>
      <c r="C237" s="5"/>
      <c r="D237" s="6"/>
      <c r="E237" s="7"/>
      <c r="F237" s="6"/>
      <c r="G237" s="6"/>
      <c r="H237" s="8"/>
    </row>
    <row r="238" spans="1:8" hidden="1" outlineLevel="1" x14ac:dyDescent="0.2">
      <c r="A238" s="17">
        <v>36100</v>
      </c>
      <c r="B238" s="5"/>
      <c r="C238" s="5"/>
      <c r="D238" s="6"/>
      <c r="E238" s="7"/>
      <c r="F238" s="6"/>
      <c r="G238" s="6"/>
      <c r="H238" s="8"/>
    </row>
    <row r="239" spans="1:8" hidden="1" outlineLevel="1" x14ac:dyDescent="0.2">
      <c r="A239" s="17">
        <v>36130</v>
      </c>
      <c r="B239" s="5"/>
      <c r="C239" s="5"/>
      <c r="D239" s="6"/>
      <c r="E239" s="7"/>
      <c r="F239" s="6"/>
      <c r="G239" s="6"/>
      <c r="H239" s="8"/>
    </row>
    <row r="240" spans="1:8" collapsed="1" x14ac:dyDescent="0.2">
      <c r="A240" s="18" t="s">
        <v>33</v>
      </c>
      <c r="B240" s="14"/>
      <c r="C240" s="14"/>
      <c r="D240" s="14"/>
      <c r="E240" s="15"/>
      <c r="F240" s="14"/>
      <c r="G240" s="16"/>
    </row>
    <row r="241" spans="1:8" ht="20.100000000000001" customHeight="1" outlineLevel="1" x14ac:dyDescent="0.2">
      <c r="A241" s="17">
        <v>36161</v>
      </c>
      <c r="B241" s="5"/>
      <c r="C241" s="5"/>
      <c r="D241" s="6"/>
      <c r="E241" s="7"/>
      <c r="F241" s="6"/>
      <c r="G241" s="6"/>
      <c r="H241" s="8"/>
    </row>
    <row r="242" spans="1:8" outlineLevel="1" x14ac:dyDescent="0.2">
      <c r="A242" s="17">
        <v>36192</v>
      </c>
      <c r="B242" s="5"/>
      <c r="C242" s="5"/>
      <c r="D242" s="6"/>
      <c r="E242" s="7"/>
      <c r="F242" s="6"/>
      <c r="G242" s="6"/>
      <c r="H242" s="8"/>
    </row>
    <row r="243" spans="1:8" outlineLevel="1" x14ac:dyDescent="0.2">
      <c r="A243" s="17">
        <v>36220</v>
      </c>
      <c r="B243" s="5"/>
      <c r="C243" s="5"/>
      <c r="D243" s="6"/>
      <c r="E243" s="7"/>
      <c r="F243" s="6"/>
      <c r="G243" s="6"/>
      <c r="H243" s="8"/>
    </row>
    <row r="244" spans="1:8" outlineLevel="1" x14ac:dyDescent="0.2">
      <c r="A244" s="17">
        <v>36251</v>
      </c>
      <c r="B244" s="5"/>
      <c r="C244" s="5"/>
      <c r="D244" s="6"/>
      <c r="E244" s="7"/>
      <c r="F244" s="6"/>
      <c r="G244" s="6"/>
      <c r="H244" s="8"/>
    </row>
    <row r="245" spans="1:8" outlineLevel="1" x14ac:dyDescent="0.2">
      <c r="A245" s="17">
        <v>36281</v>
      </c>
      <c r="B245" s="5"/>
      <c r="C245" s="5"/>
      <c r="D245" s="6"/>
      <c r="E245" s="7"/>
      <c r="F245" s="6"/>
      <c r="G245" s="6"/>
      <c r="H245" s="8"/>
    </row>
    <row r="246" spans="1:8" outlineLevel="1" x14ac:dyDescent="0.2">
      <c r="A246" s="17">
        <v>36312</v>
      </c>
      <c r="B246" s="5"/>
      <c r="C246" s="5"/>
      <c r="D246" s="6"/>
      <c r="E246" s="7"/>
      <c r="F246" s="6"/>
      <c r="G246" s="6"/>
      <c r="H246" s="8"/>
    </row>
    <row r="247" spans="1:8" outlineLevel="1" x14ac:dyDescent="0.2">
      <c r="A247" s="17">
        <v>36342</v>
      </c>
      <c r="B247" s="5"/>
      <c r="C247" s="5"/>
      <c r="D247" s="6"/>
      <c r="E247" s="7"/>
      <c r="F247" s="6"/>
      <c r="G247" s="6"/>
      <c r="H247" s="8"/>
    </row>
    <row r="248" spans="1:8" outlineLevel="1" x14ac:dyDescent="0.2">
      <c r="A248" s="17">
        <v>36373</v>
      </c>
      <c r="B248" s="5"/>
      <c r="C248" s="5"/>
      <c r="D248" s="6"/>
      <c r="E248" s="7"/>
      <c r="F248" s="6"/>
      <c r="G248" s="6"/>
      <c r="H248" s="8"/>
    </row>
    <row r="249" spans="1:8" outlineLevel="1" x14ac:dyDescent="0.2">
      <c r="A249" s="17">
        <v>36404</v>
      </c>
      <c r="B249" s="5"/>
      <c r="C249" s="5"/>
      <c r="D249" s="6"/>
      <c r="E249" s="7"/>
      <c r="F249" s="6"/>
      <c r="G249" s="6"/>
      <c r="H249" s="8"/>
    </row>
    <row r="250" spans="1:8" outlineLevel="1" x14ac:dyDescent="0.2">
      <c r="A250" s="17">
        <v>36434</v>
      </c>
      <c r="B250" s="5"/>
      <c r="C250" s="5"/>
      <c r="D250" s="6"/>
      <c r="E250" s="7"/>
      <c r="F250" s="6"/>
      <c r="G250" s="6"/>
      <c r="H250" s="8"/>
    </row>
    <row r="251" spans="1:8" outlineLevel="1" x14ac:dyDescent="0.2">
      <c r="A251" s="17">
        <v>36465</v>
      </c>
      <c r="B251" s="5"/>
      <c r="C251" s="5"/>
      <c r="D251" s="6"/>
      <c r="E251" s="7"/>
      <c r="F251" s="6"/>
      <c r="G251" s="6"/>
      <c r="H251" s="8"/>
    </row>
    <row r="252" spans="1:8" outlineLevel="1" x14ac:dyDescent="0.2">
      <c r="A252" s="17">
        <v>36495</v>
      </c>
      <c r="B252" s="5"/>
      <c r="C252" s="5"/>
      <c r="D252" s="6"/>
      <c r="E252" s="7"/>
      <c r="F252" s="6"/>
      <c r="G252" s="6"/>
      <c r="H252" s="8"/>
    </row>
    <row r="253" spans="1:8" x14ac:dyDescent="0.2">
      <c r="A253" s="18" t="s">
        <v>34</v>
      </c>
      <c r="B253" s="14"/>
      <c r="C253" s="14"/>
      <c r="D253" s="14"/>
      <c r="E253" s="15"/>
      <c r="F253" s="14"/>
      <c r="G253" s="16"/>
    </row>
    <row r="254" spans="1:8" ht="20.100000000000001" customHeight="1" outlineLevel="1" x14ac:dyDescent="0.2">
      <c r="A254" s="17">
        <v>36526</v>
      </c>
      <c r="B254" s="5"/>
      <c r="C254" s="5"/>
      <c r="D254" s="6"/>
      <c r="E254" s="7"/>
      <c r="F254" s="6"/>
      <c r="G254" s="6"/>
      <c r="H254" s="8"/>
    </row>
    <row r="255" spans="1:8" outlineLevel="1" x14ac:dyDescent="0.2">
      <c r="A255" s="17">
        <v>36557</v>
      </c>
      <c r="B255" s="5"/>
      <c r="C255" s="5"/>
      <c r="D255" s="6"/>
      <c r="E255" s="7"/>
      <c r="F255" s="6"/>
      <c r="G255" s="6"/>
      <c r="H255" s="8"/>
    </row>
    <row r="256" spans="1:8" outlineLevel="1" x14ac:dyDescent="0.2">
      <c r="A256" s="17">
        <v>36586</v>
      </c>
      <c r="B256" s="5"/>
      <c r="C256" s="5"/>
      <c r="D256" s="6"/>
      <c r="E256" s="7"/>
      <c r="F256" s="6"/>
      <c r="G256" s="6"/>
      <c r="H256" s="8"/>
    </row>
    <row r="257" spans="1:8" outlineLevel="1" x14ac:dyDescent="0.2">
      <c r="A257" s="17">
        <v>36617</v>
      </c>
      <c r="B257" s="5"/>
      <c r="C257" s="5"/>
      <c r="D257" s="6"/>
      <c r="E257" s="7"/>
      <c r="F257" s="6"/>
      <c r="G257" s="6"/>
      <c r="H257" s="8"/>
    </row>
    <row r="258" spans="1:8" outlineLevel="1" x14ac:dyDescent="0.2">
      <c r="A258" s="17">
        <v>36647</v>
      </c>
      <c r="B258" s="5"/>
      <c r="C258" s="5"/>
      <c r="D258" s="6"/>
      <c r="E258" s="7"/>
      <c r="F258" s="6"/>
      <c r="G258" s="6"/>
      <c r="H258" s="8"/>
    </row>
    <row r="259" spans="1:8" outlineLevel="1" x14ac:dyDescent="0.2">
      <c r="A259" s="17">
        <v>36678</v>
      </c>
      <c r="B259" s="5"/>
      <c r="C259" s="5"/>
      <c r="D259" s="6"/>
      <c r="E259" s="7"/>
      <c r="F259" s="6"/>
      <c r="G259" s="6"/>
      <c r="H259" s="8"/>
    </row>
    <row r="260" spans="1:8" outlineLevel="1" x14ac:dyDescent="0.2">
      <c r="A260" s="17">
        <v>36708</v>
      </c>
      <c r="B260" s="5"/>
      <c r="C260" s="5"/>
      <c r="D260" s="6"/>
      <c r="E260" s="7"/>
      <c r="F260" s="6"/>
      <c r="G260" s="6"/>
      <c r="H260" s="8"/>
    </row>
    <row r="261" spans="1:8" outlineLevel="1" x14ac:dyDescent="0.2">
      <c r="A261" s="17">
        <v>36739</v>
      </c>
      <c r="B261" s="5"/>
      <c r="C261" s="5"/>
      <c r="D261" s="6"/>
      <c r="E261" s="7"/>
      <c r="F261" s="6"/>
      <c r="G261" s="6"/>
      <c r="H261" s="8"/>
    </row>
    <row r="262" spans="1:8" outlineLevel="1" x14ac:dyDescent="0.2">
      <c r="A262" s="17">
        <v>36770</v>
      </c>
      <c r="B262" s="5"/>
      <c r="C262" s="5"/>
      <c r="D262" s="6"/>
      <c r="E262" s="7"/>
      <c r="F262" s="6"/>
      <c r="G262" s="6"/>
      <c r="H262" s="8"/>
    </row>
    <row r="263" spans="1:8" outlineLevel="1" x14ac:dyDescent="0.2">
      <c r="A263" s="17">
        <v>36800</v>
      </c>
      <c r="B263" s="5"/>
      <c r="C263" s="5"/>
      <c r="D263" s="6"/>
      <c r="E263" s="7"/>
      <c r="F263" s="6"/>
      <c r="G263" s="6"/>
      <c r="H263" s="8"/>
    </row>
    <row r="264" spans="1:8" outlineLevel="1" x14ac:dyDescent="0.2">
      <c r="A264" s="17">
        <v>36831</v>
      </c>
      <c r="B264" s="5"/>
      <c r="C264" s="5"/>
      <c r="D264" s="6"/>
      <c r="E264" s="7"/>
      <c r="F264" s="6"/>
      <c r="G264" s="6"/>
      <c r="H264" s="8"/>
    </row>
    <row r="265" spans="1:8" outlineLevel="1" x14ac:dyDescent="0.2">
      <c r="A265" s="17">
        <v>36861</v>
      </c>
      <c r="B265" s="5"/>
      <c r="C265" s="5"/>
      <c r="D265" s="6"/>
      <c r="E265" s="7"/>
      <c r="F265" s="6"/>
      <c r="G265" s="6"/>
      <c r="H265" s="8"/>
    </row>
    <row r="266" spans="1:8" x14ac:dyDescent="0.2">
      <c r="A266" s="18" t="s">
        <v>35</v>
      </c>
      <c r="B266" s="14"/>
      <c r="C266" s="14"/>
      <c r="D266" s="14"/>
      <c r="E266" s="15"/>
      <c r="F266" s="14"/>
      <c r="G266" s="16"/>
    </row>
    <row r="267" spans="1:8" ht="20.100000000000001" customHeight="1" outlineLevel="1" x14ac:dyDescent="0.2">
      <c r="A267" s="17">
        <v>36892</v>
      </c>
      <c r="B267" s="5"/>
      <c r="C267" s="5"/>
      <c r="D267" s="6"/>
      <c r="E267" s="7"/>
      <c r="F267" s="6"/>
      <c r="G267" s="6"/>
    </row>
    <row r="268" spans="1:8" outlineLevel="1" x14ac:dyDescent="0.2">
      <c r="A268" s="17">
        <v>36923</v>
      </c>
      <c r="B268" s="5">
        <v>1807.38</v>
      </c>
      <c r="C268" s="5">
        <v>1886.8630000000001</v>
      </c>
      <c r="D268" s="6">
        <v>-79.483000000000004</v>
      </c>
      <c r="E268" s="7">
        <v>-0.38632631442955978</v>
      </c>
      <c r="F268" s="6">
        <v>126.13999999999925</v>
      </c>
      <c r="G268" s="6">
        <v>20620.715</v>
      </c>
    </row>
    <row r="269" spans="1:8" outlineLevel="1" x14ac:dyDescent="0.2">
      <c r="A269" s="17">
        <v>36951</v>
      </c>
      <c r="B269" s="5">
        <v>2115.4369999999999</v>
      </c>
      <c r="C269" s="5">
        <v>2236.0909999999999</v>
      </c>
      <c r="D269" s="6">
        <v>-120.654</v>
      </c>
      <c r="E269" s="7">
        <f t="shared" ref="E269:E278" si="0">(D269/G268*100)</f>
        <v>-0.58511065207971691</v>
      </c>
      <c r="F269" s="6">
        <f t="shared" ref="F269:F278" si="1">(G269-G268-D269)</f>
        <v>108.99199999999973</v>
      </c>
      <c r="G269" s="6">
        <v>20609.053</v>
      </c>
    </row>
    <row r="270" spans="1:8" outlineLevel="1" x14ac:dyDescent="0.2">
      <c r="A270" s="17">
        <v>36982</v>
      </c>
      <c r="B270" s="5">
        <v>2146.8270000000002</v>
      </c>
      <c r="C270" s="5">
        <v>2120.2200000000003</v>
      </c>
      <c r="D270" s="6">
        <v>26.606999999999999</v>
      </c>
      <c r="E270" s="7">
        <f t="shared" si="0"/>
        <v>0.12910345759215622</v>
      </c>
      <c r="F270" s="6">
        <f t="shared" si="1"/>
        <v>130.23199999999994</v>
      </c>
      <c r="G270" s="6">
        <v>20765.892</v>
      </c>
    </row>
    <row r="271" spans="1:8" outlineLevel="1" x14ac:dyDescent="0.2">
      <c r="A271" s="17">
        <v>37012</v>
      </c>
      <c r="B271" s="5">
        <v>2217.5729999999999</v>
      </c>
      <c r="C271" s="5">
        <v>2269.6120000000001</v>
      </c>
      <c r="D271" s="6">
        <v>-52.039000000000001</v>
      </c>
      <c r="E271" s="7">
        <f t="shared" si="0"/>
        <v>-0.25059843323850478</v>
      </c>
      <c r="F271" s="6">
        <f t="shared" si="1"/>
        <v>131.86800000000153</v>
      </c>
      <c r="G271" s="6">
        <v>20845.721000000001</v>
      </c>
    </row>
    <row r="272" spans="1:8" outlineLevel="1" x14ac:dyDescent="0.2">
      <c r="A272" s="17">
        <v>37043</v>
      </c>
      <c r="B272" s="5">
        <v>1968.578</v>
      </c>
      <c r="C272" s="5">
        <v>2044.3899999999999</v>
      </c>
      <c r="D272" s="6">
        <v>-75.811999999999998</v>
      </c>
      <c r="E272" s="7">
        <f t="shared" si="0"/>
        <v>-0.36368135215855568</v>
      </c>
      <c r="F272" s="6">
        <f t="shared" si="1"/>
        <v>137.88299999999992</v>
      </c>
      <c r="G272" s="6">
        <v>20907.792000000001</v>
      </c>
    </row>
    <row r="273" spans="1:7" outlineLevel="1" x14ac:dyDescent="0.2">
      <c r="A273" s="17">
        <v>37073</v>
      </c>
      <c r="B273" s="5">
        <v>2255.431</v>
      </c>
      <c r="C273" s="5">
        <v>2217.4749999999999</v>
      </c>
      <c r="D273" s="6">
        <v>37.956000000000003</v>
      </c>
      <c r="E273" s="7">
        <f t="shared" si="0"/>
        <v>0.18153997323103271</v>
      </c>
      <c r="F273" s="6">
        <f t="shared" si="1"/>
        <v>131.8660000000001</v>
      </c>
      <c r="G273" s="6">
        <v>21077.614000000001</v>
      </c>
    </row>
    <row r="274" spans="1:7" outlineLevel="1" x14ac:dyDescent="0.2">
      <c r="A274" s="17">
        <v>37104</v>
      </c>
      <c r="B274" s="5">
        <v>2218.0839999999998</v>
      </c>
      <c r="C274" s="5">
        <v>2245.3799999999997</v>
      </c>
      <c r="D274" s="6">
        <v>-27.295999999999999</v>
      </c>
      <c r="E274" s="7">
        <f t="shared" si="0"/>
        <v>-0.12950232412454274</v>
      </c>
      <c r="F274" s="6">
        <f t="shared" si="1"/>
        <v>164.43099999999839</v>
      </c>
      <c r="G274" s="6">
        <v>21214.749</v>
      </c>
    </row>
    <row r="275" spans="1:7" outlineLevel="1" x14ac:dyDescent="0.2">
      <c r="A275" s="17">
        <v>37135</v>
      </c>
      <c r="B275" s="5">
        <v>1948.771</v>
      </c>
      <c r="C275" s="5">
        <v>1984.77</v>
      </c>
      <c r="D275" s="6">
        <v>-35.999000000000002</v>
      </c>
      <c r="E275" s="7">
        <f t="shared" si="0"/>
        <v>-0.16968855016856435</v>
      </c>
      <c r="F275" s="6">
        <f t="shared" si="1"/>
        <v>159.45400000000174</v>
      </c>
      <c r="G275" s="6">
        <v>21338.204000000002</v>
      </c>
    </row>
    <row r="276" spans="1:7" outlineLevel="1" x14ac:dyDescent="0.2">
      <c r="A276" s="17">
        <v>37165</v>
      </c>
      <c r="B276" s="5">
        <v>2117.875</v>
      </c>
      <c r="C276" s="5">
        <v>2328.3829999999998</v>
      </c>
      <c r="D276" s="6">
        <v>-210.50800000000001</v>
      </c>
      <c r="E276" s="7">
        <f t="shared" si="0"/>
        <v>-0.986531012638177</v>
      </c>
      <c r="F276" s="6">
        <f t="shared" si="1"/>
        <v>151.50299999999899</v>
      </c>
      <c r="G276" s="6">
        <v>21279.199000000001</v>
      </c>
    </row>
    <row r="277" spans="1:7" outlineLevel="1" x14ac:dyDescent="0.2">
      <c r="A277" s="17">
        <v>37196</v>
      </c>
      <c r="B277" s="5">
        <v>2076.9659999999999</v>
      </c>
      <c r="C277" s="5">
        <v>2214.0129999999999</v>
      </c>
      <c r="D277" s="6">
        <v>-137.047</v>
      </c>
      <c r="E277" s="7">
        <f t="shared" si="0"/>
        <v>-0.64404209951699776</v>
      </c>
      <c r="F277" s="6">
        <f t="shared" si="1"/>
        <v>151.38099999999892</v>
      </c>
      <c r="G277" s="6">
        <v>21293.532999999999</v>
      </c>
    </row>
    <row r="278" spans="1:7" outlineLevel="1" x14ac:dyDescent="0.2">
      <c r="A278" s="17">
        <v>37226</v>
      </c>
      <c r="B278" s="5">
        <v>2450.2350000000001</v>
      </c>
      <c r="C278" s="5">
        <v>2335.3850000000002</v>
      </c>
      <c r="D278" s="6">
        <v>114.85</v>
      </c>
      <c r="E278" s="7">
        <f t="shared" si="0"/>
        <v>0.53936563744494626</v>
      </c>
      <c r="F278" s="6">
        <f t="shared" si="1"/>
        <v>144.21500000000233</v>
      </c>
      <c r="G278" s="6">
        <v>21552.598000000002</v>
      </c>
    </row>
    <row r="279" spans="1:7" x14ac:dyDescent="0.2">
      <c r="A279" s="18" t="s">
        <v>36</v>
      </c>
      <c r="B279" s="14">
        <f>SUM(B267:B278)</f>
        <v>23323.157000000003</v>
      </c>
      <c r="C279" s="14">
        <f>SUM(C267:C278)</f>
        <v>23882.582000000002</v>
      </c>
      <c r="D279" s="14">
        <f>SUM(D267:D278)</f>
        <v>-559.42500000000007</v>
      </c>
      <c r="E279" s="15">
        <f>(D279/G268*100)</f>
        <v>-2.7129272675559508</v>
      </c>
      <c r="F279" s="14">
        <f>SUM(F267:F278)</f>
        <v>1537.9650000000011</v>
      </c>
      <c r="G279" s="16">
        <f>G278</f>
        <v>21552.598000000002</v>
      </c>
    </row>
    <row r="280" spans="1:7" ht="20.100000000000001" customHeight="1" outlineLevel="1" x14ac:dyDescent="0.2">
      <c r="A280" s="17">
        <v>37257</v>
      </c>
      <c r="B280" s="5">
        <v>2537.7710000000002</v>
      </c>
      <c r="C280" s="5">
        <v>2403.1660000000002</v>
      </c>
      <c r="D280" s="6">
        <v>134.60499999999999</v>
      </c>
      <c r="E280" s="7">
        <f>(D280/G278*100)</f>
        <v>0.6245418765756221</v>
      </c>
      <c r="F280" s="6">
        <f>(G280-G278-D280)</f>
        <v>148.67599999999905</v>
      </c>
      <c r="G280" s="6">
        <v>21835.879000000001</v>
      </c>
    </row>
    <row r="281" spans="1:7" outlineLevel="1" x14ac:dyDescent="0.2">
      <c r="A281" s="17">
        <v>37288</v>
      </c>
      <c r="B281" s="5">
        <v>2041.6590000000001</v>
      </c>
      <c r="C281" s="5">
        <v>2146.7640000000001</v>
      </c>
      <c r="D281" s="6">
        <v>-105.105</v>
      </c>
      <c r="E281" s="7">
        <f t="shared" ref="E281:E291" si="2">(D281/G280*100)</f>
        <v>-0.48134082442937143</v>
      </c>
      <c r="F281" s="6">
        <f t="shared" ref="F281:F291" si="3">(G281-G280-D281)</f>
        <v>154.30300000000034</v>
      </c>
      <c r="G281" s="6">
        <v>21885.077000000001</v>
      </c>
    </row>
    <row r="282" spans="1:7" outlineLevel="1" x14ac:dyDescent="0.2">
      <c r="A282" s="17">
        <v>37316</v>
      </c>
      <c r="B282" s="5">
        <v>2087.8420000000001</v>
      </c>
      <c r="C282" s="5">
        <v>2193.0410000000002</v>
      </c>
      <c r="D282" s="6">
        <v>-105.199</v>
      </c>
      <c r="E282" s="7">
        <f t="shared" si="2"/>
        <v>-0.48068827904969214</v>
      </c>
      <c r="F282" s="6">
        <f t="shared" si="3"/>
        <v>139.65199999999771</v>
      </c>
      <c r="G282" s="6">
        <v>21919.53</v>
      </c>
    </row>
    <row r="283" spans="1:7" outlineLevel="1" x14ac:dyDescent="0.2">
      <c r="A283" s="17">
        <v>37347</v>
      </c>
      <c r="B283" s="5">
        <v>2266.7710000000002</v>
      </c>
      <c r="C283" s="5">
        <v>2430.7720000000004</v>
      </c>
      <c r="D283" s="6">
        <v>-164.001</v>
      </c>
      <c r="E283" s="7">
        <f t="shared" si="2"/>
        <v>-0.74819578704470402</v>
      </c>
      <c r="F283" s="6">
        <f t="shared" si="3"/>
        <v>151.7290000000028</v>
      </c>
      <c r="G283" s="6">
        <v>21907.258000000002</v>
      </c>
    </row>
    <row r="284" spans="1:7" outlineLevel="1" x14ac:dyDescent="0.2">
      <c r="A284" s="17">
        <v>37377</v>
      </c>
      <c r="B284" s="5">
        <v>2161.1469999999999</v>
      </c>
      <c r="C284" s="5">
        <v>2283.4589999999998</v>
      </c>
      <c r="D284" s="6">
        <v>-122.312</v>
      </c>
      <c r="E284" s="7">
        <f t="shared" si="2"/>
        <v>-0.55831724810106309</v>
      </c>
      <c r="F284" s="6">
        <f t="shared" si="3"/>
        <v>145.52099999999893</v>
      </c>
      <c r="G284" s="6">
        <v>21930.467000000001</v>
      </c>
    </row>
    <row r="285" spans="1:7" outlineLevel="1" x14ac:dyDescent="0.2">
      <c r="A285" s="17">
        <v>37408</v>
      </c>
      <c r="B285" s="5">
        <v>2920.4569999999999</v>
      </c>
      <c r="C285" s="5">
        <v>2034.7639999999999</v>
      </c>
      <c r="D285" s="6">
        <v>885.69299999999998</v>
      </c>
      <c r="E285" s="7">
        <f t="shared" si="2"/>
        <v>4.0386417671817023</v>
      </c>
      <c r="F285" s="6">
        <f t="shared" si="3"/>
        <v>134.96199999999885</v>
      </c>
      <c r="G285" s="6">
        <v>22951.121999999999</v>
      </c>
    </row>
    <row r="286" spans="1:7" outlineLevel="1" x14ac:dyDescent="0.2">
      <c r="A286" s="17">
        <v>37438</v>
      </c>
      <c r="B286" s="5">
        <v>4094.4380000000001</v>
      </c>
      <c r="C286" s="5">
        <v>2511.0349999999999</v>
      </c>
      <c r="D286" s="6">
        <v>1583.403</v>
      </c>
      <c r="E286" s="7">
        <f t="shared" si="2"/>
        <v>6.8990221915948169</v>
      </c>
      <c r="F286" s="6">
        <f t="shared" si="3"/>
        <v>158.88900000000126</v>
      </c>
      <c r="G286" s="6">
        <v>24693.414000000001</v>
      </c>
    </row>
    <row r="287" spans="1:7" outlineLevel="1" x14ac:dyDescent="0.2">
      <c r="A287" s="17">
        <v>37469</v>
      </c>
      <c r="B287" s="5">
        <v>3992.6759999999999</v>
      </c>
      <c r="C287" s="5">
        <v>2603.502</v>
      </c>
      <c r="D287" s="6">
        <v>1389.174</v>
      </c>
      <c r="E287" s="7">
        <f t="shared" si="2"/>
        <v>5.62568626598169</v>
      </c>
      <c r="F287" s="6">
        <f t="shared" si="3"/>
        <v>175.58499999999822</v>
      </c>
      <c r="G287" s="6">
        <v>26258.172999999999</v>
      </c>
    </row>
    <row r="288" spans="1:7" outlineLevel="1" x14ac:dyDescent="0.2">
      <c r="A288" s="17">
        <v>37500</v>
      </c>
      <c r="B288" s="5">
        <v>2921.2249999999999</v>
      </c>
      <c r="C288" s="5">
        <v>2782.9259999999999</v>
      </c>
      <c r="D288" s="6">
        <v>138.29900000000001</v>
      </c>
      <c r="E288" s="7">
        <f t="shared" si="2"/>
        <v>0.52668934735101336</v>
      </c>
      <c r="F288" s="6">
        <f t="shared" si="3"/>
        <v>187.84000000000285</v>
      </c>
      <c r="G288" s="6">
        <v>26584.312000000002</v>
      </c>
    </row>
    <row r="289" spans="1:7" outlineLevel="1" x14ac:dyDescent="0.2">
      <c r="A289" s="17">
        <v>37530</v>
      </c>
      <c r="B289" s="5">
        <v>3329.06</v>
      </c>
      <c r="C289" s="5">
        <v>3139.2649999999999</v>
      </c>
      <c r="D289" s="6">
        <v>189.79499999999999</v>
      </c>
      <c r="E289" s="7">
        <f t="shared" si="2"/>
        <v>0.71393609885409093</v>
      </c>
      <c r="F289" s="6">
        <f t="shared" si="3"/>
        <v>182.6439999999985</v>
      </c>
      <c r="G289" s="6">
        <v>26956.751</v>
      </c>
    </row>
    <row r="290" spans="1:7" outlineLevel="1" x14ac:dyDescent="0.2">
      <c r="A290" s="17">
        <v>37561</v>
      </c>
      <c r="B290" s="5">
        <v>2910.7689999999998</v>
      </c>
      <c r="C290" s="5">
        <v>3059.5589999999997</v>
      </c>
      <c r="D290" s="6">
        <v>-148.79</v>
      </c>
      <c r="E290" s="7">
        <f t="shared" si="2"/>
        <v>-0.55195820891026515</v>
      </c>
      <c r="F290" s="6">
        <f t="shared" si="3"/>
        <v>202.94299999999842</v>
      </c>
      <c r="G290" s="6">
        <v>27010.903999999999</v>
      </c>
    </row>
    <row r="291" spans="1:7" outlineLevel="1" x14ac:dyDescent="0.2">
      <c r="A291" s="17">
        <v>37591</v>
      </c>
      <c r="B291" s="5">
        <v>3566.4679999999998</v>
      </c>
      <c r="C291" s="5">
        <v>3568.556</v>
      </c>
      <c r="D291" s="6">
        <v>-2.0880000000000001</v>
      </c>
      <c r="E291" s="7">
        <f t="shared" si="2"/>
        <v>-7.7302114731147105E-3</v>
      </c>
      <c r="F291" s="6">
        <f t="shared" si="3"/>
        <v>210.25200000000066</v>
      </c>
      <c r="G291" s="6">
        <v>27219.067999999999</v>
      </c>
    </row>
    <row r="292" spans="1:7" x14ac:dyDescent="0.2">
      <c r="A292" s="18" t="s">
        <v>37</v>
      </c>
      <c r="B292" s="14">
        <f>SUM(B280:B291)</f>
        <v>34830.283000000003</v>
      </c>
      <c r="C292" s="14">
        <f>SUM(C280:C291)</f>
        <v>31156.809000000001</v>
      </c>
      <c r="D292" s="14">
        <f>SUM(D280:D291)</f>
        <v>3673.4739999999997</v>
      </c>
      <c r="E292" s="15">
        <f>(D292/G279*100)</f>
        <v>17.044228264267719</v>
      </c>
      <c r="F292" s="14">
        <f>SUM(F280:F291)</f>
        <v>1992.9959999999976</v>
      </c>
      <c r="G292" s="16">
        <f>G291</f>
        <v>27219.067999999999</v>
      </c>
    </row>
    <row r="293" spans="1:7" ht="20.100000000000001" hidden="1" customHeight="1" outlineLevel="1" x14ac:dyDescent="0.2">
      <c r="A293" s="17">
        <v>37622</v>
      </c>
      <c r="B293" s="5">
        <v>3236.8490000000002</v>
      </c>
      <c r="C293" s="5">
        <v>3253.4760000000001</v>
      </c>
      <c r="D293" s="6">
        <v>-16.626999999999999</v>
      </c>
      <c r="E293" s="7">
        <f>(D293/G291*100)</f>
        <v>-6.1085853490648538E-2</v>
      </c>
      <c r="F293" s="6">
        <f>(G293-G291-D293)</f>
        <v>230.90799999999905</v>
      </c>
      <c r="G293" s="6">
        <v>27433.348999999998</v>
      </c>
    </row>
    <row r="294" spans="1:7" hidden="1" outlineLevel="1" x14ac:dyDescent="0.2">
      <c r="A294" s="17">
        <v>37653</v>
      </c>
      <c r="B294" s="5">
        <v>2710.0160000000001</v>
      </c>
      <c r="C294" s="5">
        <v>3156.4870000000001</v>
      </c>
      <c r="D294" s="6">
        <v>-446.471</v>
      </c>
      <c r="E294" s="7">
        <f t="shared" ref="E294:E304" si="4">(D294/G293*100)</f>
        <v>-1.6274753767759089</v>
      </c>
      <c r="F294" s="6">
        <f t="shared" ref="F294:F304" si="5">(G294-G293-D294)</f>
        <v>265.57200000000239</v>
      </c>
      <c r="G294" s="6">
        <v>27252.45</v>
      </c>
    </row>
    <row r="295" spans="1:7" hidden="1" outlineLevel="1" x14ac:dyDescent="0.2">
      <c r="A295" s="17">
        <v>37681</v>
      </c>
      <c r="B295" s="5">
        <v>2547.6660000000002</v>
      </c>
      <c r="C295" s="5">
        <v>2957.79</v>
      </c>
      <c r="D295" s="6">
        <v>-410.12400000000002</v>
      </c>
      <c r="E295" s="7">
        <f t="shared" si="4"/>
        <v>-1.5049068982788703</v>
      </c>
      <c r="F295" s="6">
        <f t="shared" si="5"/>
        <v>233.02200000000107</v>
      </c>
      <c r="G295" s="6">
        <v>27075.348000000002</v>
      </c>
    </row>
    <row r="296" spans="1:7" hidden="1" outlineLevel="1" x14ac:dyDescent="0.2">
      <c r="A296" s="17">
        <v>37712</v>
      </c>
      <c r="B296" s="5">
        <v>2684.8180000000002</v>
      </c>
      <c r="C296" s="5">
        <v>3082.6090000000004</v>
      </c>
      <c r="D296" s="6">
        <v>-397.791</v>
      </c>
      <c r="E296" s="7">
        <f t="shared" si="4"/>
        <v>-1.4691999526654282</v>
      </c>
      <c r="F296" s="6">
        <f t="shared" si="5"/>
        <v>266.39799999999997</v>
      </c>
      <c r="G296" s="6">
        <v>26943.955000000002</v>
      </c>
    </row>
    <row r="297" spans="1:7" hidden="1" outlineLevel="1" x14ac:dyDescent="0.2">
      <c r="A297" s="17">
        <v>37742</v>
      </c>
      <c r="B297" s="5">
        <v>2749.67</v>
      </c>
      <c r="C297" s="5">
        <v>3155.2</v>
      </c>
      <c r="D297" s="6">
        <v>-405.53</v>
      </c>
      <c r="E297" s="7">
        <f t="shared" si="4"/>
        <v>-1.5050871336446336</v>
      </c>
      <c r="F297" s="6">
        <f t="shared" si="5"/>
        <v>239.07999999999925</v>
      </c>
      <c r="G297" s="6">
        <v>26777.505000000001</v>
      </c>
    </row>
    <row r="298" spans="1:7" hidden="1" outlineLevel="1" x14ac:dyDescent="0.2">
      <c r="A298" s="17">
        <v>37773</v>
      </c>
      <c r="B298" s="5">
        <v>2705.0990000000002</v>
      </c>
      <c r="C298" s="5">
        <v>3051.0120000000002</v>
      </c>
      <c r="D298" s="6">
        <v>-345.91300000000001</v>
      </c>
      <c r="E298" s="7">
        <f t="shared" si="4"/>
        <v>-1.2918044455598086</v>
      </c>
      <c r="F298" s="6">
        <f t="shared" si="5"/>
        <v>260.01499999999896</v>
      </c>
      <c r="G298" s="6">
        <v>26691.607</v>
      </c>
    </row>
    <row r="299" spans="1:7" hidden="1" outlineLevel="1" x14ac:dyDescent="0.2">
      <c r="A299" s="17">
        <v>37803</v>
      </c>
      <c r="B299" s="5">
        <v>2966.5749999999998</v>
      </c>
      <c r="C299" s="5">
        <v>3159.4249999999997</v>
      </c>
      <c r="D299" s="6">
        <v>-192.85</v>
      </c>
      <c r="E299" s="7">
        <f t="shared" si="4"/>
        <v>-0.72251176184333898</v>
      </c>
      <c r="F299" s="6">
        <f t="shared" si="5"/>
        <v>245.2260000000002</v>
      </c>
      <c r="G299" s="6">
        <v>26743.983</v>
      </c>
    </row>
    <row r="300" spans="1:7" hidden="1" outlineLevel="1" x14ac:dyDescent="0.2">
      <c r="A300" s="17">
        <v>37834</v>
      </c>
      <c r="B300" s="5">
        <v>2711.1770000000001</v>
      </c>
      <c r="C300" s="5">
        <v>2875.4650000000001</v>
      </c>
      <c r="D300" s="6">
        <v>-164.28800000000001</v>
      </c>
      <c r="E300" s="7">
        <f t="shared" si="4"/>
        <v>-0.6142989247338364</v>
      </c>
      <c r="F300" s="6">
        <f t="shared" si="5"/>
        <v>254.75199999999995</v>
      </c>
      <c r="G300" s="6">
        <v>26834.447</v>
      </c>
    </row>
    <row r="301" spans="1:7" hidden="1" outlineLevel="1" x14ac:dyDescent="0.2">
      <c r="A301" s="17">
        <v>37865</v>
      </c>
      <c r="B301" s="5">
        <v>2847.2719999999999</v>
      </c>
      <c r="C301" s="5">
        <v>3044.0709999999999</v>
      </c>
      <c r="D301" s="6">
        <v>-196.79900000000001</v>
      </c>
      <c r="E301" s="7">
        <f t="shared" si="4"/>
        <v>-0.73338198473029836</v>
      </c>
      <c r="F301" s="6">
        <f t="shared" si="5"/>
        <v>237.46400000000088</v>
      </c>
      <c r="G301" s="6">
        <v>26875.112000000001</v>
      </c>
    </row>
    <row r="302" spans="1:7" hidden="1" outlineLevel="1" x14ac:dyDescent="0.2">
      <c r="A302" s="17">
        <v>37895</v>
      </c>
      <c r="B302" s="5">
        <v>2987.06</v>
      </c>
      <c r="C302" s="5">
        <v>3182.9090000000001</v>
      </c>
      <c r="D302" s="6">
        <v>-195.84899999999999</v>
      </c>
      <c r="E302" s="7">
        <f t="shared" si="4"/>
        <v>-0.72873742814541564</v>
      </c>
      <c r="F302" s="6">
        <f t="shared" si="5"/>
        <v>206.17400000000072</v>
      </c>
      <c r="G302" s="6">
        <v>26885.437000000002</v>
      </c>
    </row>
    <row r="303" spans="1:7" hidden="1" outlineLevel="1" x14ac:dyDescent="0.2">
      <c r="A303" s="17">
        <v>37926</v>
      </c>
      <c r="B303" s="5">
        <v>2965.84</v>
      </c>
      <c r="C303" s="5">
        <v>2908.7870000000003</v>
      </c>
      <c r="D303" s="6">
        <v>57.052999999999997</v>
      </c>
      <c r="E303" s="7">
        <f t="shared" si="4"/>
        <v>0.21220782091062904</v>
      </c>
      <c r="F303" s="6">
        <f t="shared" si="5"/>
        <v>202.1499999999977</v>
      </c>
      <c r="G303" s="6">
        <v>27144.639999999999</v>
      </c>
    </row>
    <row r="304" spans="1:7" hidden="1" outlineLevel="1" x14ac:dyDescent="0.2">
      <c r="A304" s="17">
        <v>37956</v>
      </c>
      <c r="B304" s="5">
        <v>4026.306</v>
      </c>
      <c r="C304" s="5">
        <v>3556.6150000000002</v>
      </c>
      <c r="D304" s="6">
        <v>469.69099999999997</v>
      </c>
      <c r="E304" s="7">
        <f t="shared" si="4"/>
        <v>1.7303268711613047</v>
      </c>
      <c r="F304" s="6">
        <f t="shared" si="5"/>
        <v>185.07499999999965</v>
      </c>
      <c r="G304" s="6">
        <v>27799.405999999999</v>
      </c>
    </row>
    <row r="305" spans="1:7" collapsed="1" x14ac:dyDescent="0.2">
      <c r="A305" s="18" t="s">
        <v>38</v>
      </c>
      <c r="B305" s="14">
        <f>SUM(B293:B304)</f>
        <v>35138.347999999998</v>
      </c>
      <c r="C305" s="14">
        <f>SUM(C293:C304)</f>
        <v>37383.845999999998</v>
      </c>
      <c r="D305" s="14">
        <f>SUM(D293:D304)</f>
        <v>-2245.4980000000005</v>
      </c>
      <c r="E305" s="15">
        <f>(D305/G292*100)</f>
        <v>-8.2497240537405627</v>
      </c>
      <c r="F305" s="14">
        <f>SUM(F293:F304)</f>
        <v>2825.8360000000002</v>
      </c>
      <c r="G305" s="16">
        <f>G304</f>
        <v>27799.405999999999</v>
      </c>
    </row>
    <row r="306" spans="1:7" ht="20.100000000000001" hidden="1" customHeight="1" outlineLevel="1" x14ac:dyDescent="0.2">
      <c r="A306" s="17">
        <v>37987</v>
      </c>
      <c r="B306" s="5">
        <v>3486.7440000000001</v>
      </c>
      <c r="C306" s="5">
        <v>3431.9080000000004</v>
      </c>
      <c r="D306" s="6">
        <v>54.835999999999999</v>
      </c>
      <c r="E306" s="7">
        <f>(D306/G304*100)</f>
        <v>0.19725601331193912</v>
      </c>
      <c r="F306" s="6">
        <f>(G306-G304-D306)</f>
        <v>167.30700000000002</v>
      </c>
      <c r="G306" s="6">
        <v>28021.548999999999</v>
      </c>
    </row>
    <row r="307" spans="1:7" hidden="1" outlineLevel="1" x14ac:dyDescent="0.2">
      <c r="A307" s="17">
        <v>38018</v>
      </c>
      <c r="B307" s="5">
        <v>2875.8490000000002</v>
      </c>
      <c r="C307" s="5">
        <v>3070.268</v>
      </c>
      <c r="D307" s="6">
        <v>-194.41900000000001</v>
      </c>
      <c r="E307" s="7">
        <f t="shared" ref="E307:E317" si="6">(D307/G306*100)</f>
        <v>-0.6938196029063205</v>
      </c>
      <c r="F307" s="6">
        <f t="shared" ref="F307:F317" si="7">(G307-G306-D307)</f>
        <v>170.32100000000187</v>
      </c>
      <c r="G307" s="6">
        <v>27997.451000000001</v>
      </c>
    </row>
    <row r="308" spans="1:7" hidden="1" outlineLevel="1" x14ac:dyDescent="0.2">
      <c r="A308" s="17">
        <v>38047</v>
      </c>
      <c r="B308" s="5">
        <v>3470.4189999999999</v>
      </c>
      <c r="C308" s="5">
        <v>3649.098</v>
      </c>
      <c r="D308" s="6">
        <v>-178.679</v>
      </c>
      <c r="E308" s="7">
        <f t="shared" si="6"/>
        <v>-0.63819738446903607</v>
      </c>
      <c r="F308" s="6">
        <f t="shared" si="7"/>
        <v>158.73400000000029</v>
      </c>
      <c r="G308" s="6">
        <v>27977.506000000001</v>
      </c>
    </row>
    <row r="309" spans="1:7" hidden="1" outlineLevel="1" x14ac:dyDescent="0.2">
      <c r="A309" s="17">
        <v>38078</v>
      </c>
      <c r="B309" s="5">
        <v>3341.971</v>
      </c>
      <c r="C309" s="5">
        <v>3265.1970000000001</v>
      </c>
      <c r="D309" s="6">
        <v>76.774000000000001</v>
      </c>
      <c r="E309" s="7">
        <f t="shared" si="6"/>
        <v>0.2744133090347653</v>
      </c>
      <c r="F309" s="6">
        <f t="shared" si="7"/>
        <v>172.02399999999886</v>
      </c>
      <c r="G309" s="6">
        <v>28226.304</v>
      </c>
    </row>
    <row r="310" spans="1:7" hidden="1" outlineLevel="1" x14ac:dyDescent="0.2">
      <c r="A310" s="17">
        <v>38108</v>
      </c>
      <c r="B310" s="5">
        <v>3677.7890000000002</v>
      </c>
      <c r="C310" s="5">
        <v>3288.9180000000001</v>
      </c>
      <c r="D310" s="6">
        <v>388.87099999999998</v>
      </c>
      <c r="E310" s="7">
        <f t="shared" si="6"/>
        <v>1.3776901148659064</v>
      </c>
      <c r="F310" s="6">
        <f t="shared" si="7"/>
        <v>167.71900000000016</v>
      </c>
      <c r="G310" s="6">
        <v>28782.894</v>
      </c>
    </row>
    <row r="311" spans="1:7" hidden="1" outlineLevel="1" x14ac:dyDescent="0.2">
      <c r="A311" s="17">
        <v>38139</v>
      </c>
      <c r="B311" s="5">
        <v>3692.174</v>
      </c>
      <c r="C311" s="5">
        <v>3327.7440000000001</v>
      </c>
      <c r="D311" s="6">
        <v>364.43</v>
      </c>
      <c r="E311" s="7">
        <f t="shared" si="6"/>
        <v>1.2661339752701726</v>
      </c>
      <c r="F311" s="6">
        <f t="shared" si="7"/>
        <v>189.32700000000142</v>
      </c>
      <c r="G311" s="6">
        <v>29336.651000000002</v>
      </c>
    </row>
    <row r="312" spans="1:7" hidden="1" outlineLevel="1" x14ac:dyDescent="0.2">
      <c r="A312" s="17">
        <v>38169</v>
      </c>
      <c r="B312" s="5">
        <v>4083.4279999999999</v>
      </c>
      <c r="C312" s="5">
        <v>3751.4409999999998</v>
      </c>
      <c r="D312" s="6">
        <v>331.98700000000002</v>
      </c>
      <c r="E312" s="7">
        <f t="shared" si="6"/>
        <v>1.1316458719163276</v>
      </c>
      <c r="F312" s="6">
        <f t="shared" si="7"/>
        <v>188.49799999999692</v>
      </c>
      <c r="G312" s="6">
        <v>29857.135999999999</v>
      </c>
    </row>
    <row r="313" spans="1:7" hidden="1" outlineLevel="1" x14ac:dyDescent="0.2">
      <c r="A313" s="17">
        <v>38200</v>
      </c>
      <c r="B313" s="5">
        <v>3738.4349999999999</v>
      </c>
      <c r="C313" s="5">
        <v>3722.12</v>
      </c>
      <c r="D313" s="6">
        <v>16.315000000000001</v>
      </c>
      <c r="E313" s="7">
        <f t="shared" si="6"/>
        <v>5.4643553219572039E-2</v>
      </c>
      <c r="F313" s="6">
        <f t="shared" si="7"/>
        <v>200.96800000000309</v>
      </c>
      <c r="G313" s="6">
        <v>30074.419000000002</v>
      </c>
    </row>
    <row r="314" spans="1:7" hidden="1" outlineLevel="1" x14ac:dyDescent="0.2">
      <c r="A314" s="17">
        <v>38231</v>
      </c>
      <c r="B314" s="5">
        <v>3257.0140000000001</v>
      </c>
      <c r="C314" s="5">
        <v>3285.23</v>
      </c>
      <c r="D314" s="6">
        <v>-28.216000000000001</v>
      </c>
      <c r="E314" s="7">
        <f t="shared" si="6"/>
        <v>-9.3820598828525989E-2</v>
      </c>
      <c r="F314" s="6">
        <f t="shared" si="7"/>
        <v>199.4749999999982</v>
      </c>
      <c r="G314" s="6">
        <v>30245.678</v>
      </c>
    </row>
    <row r="315" spans="1:7" hidden="1" outlineLevel="1" x14ac:dyDescent="0.2">
      <c r="A315" s="17">
        <v>38261</v>
      </c>
      <c r="B315" s="5">
        <v>3511.482</v>
      </c>
      <c r="C315" s="5">
        <v>3549.1419999999998</v>
      </c>
      <c r="D315" s="6">
        <v>-37.659999999999997</v>
      </c>
      <c r="E315" s="7">
        <f t="shared" si="6"/>
        <v>-0.12451365778608102</v>
      </c>
      <c r="F315" s="6">
        <f t="shared" si="7"/>
        <v>189.86500000000174</v>
      </c>
      <c r="G315" s="6">
        <v>30397.883000000002</v>
      </c>
    </row>
    <row r="316" spans="1:7" hidden="1" outlineLevel="1" x14ac:dyDescent="0.2">
      <c r="A316" s="17">
        <v>38292</v>
      </c>
      <c r="B316" s="5">
        <v>3867.8609999999999</v>
      </c>
      <c r="C316" s="5">
        <v>3860.5039999999999</v>
      </c>
      <c r="D316" s="6">
        <v>7.3570000000000002</v>
      </c>
      <c r="E316" s="7">
        <f t="shared" si="6"/>
        <v>2.4202343301341085E-2</v>
      </c>
      <c r="F316" s="6">
        <f t="shared" si="7"/>
        <v>182.163999999997</v>
      </c>
      <c r="G316" s="6">
        <v>30587.403999999999</v>
      </c>
    </row>
    <row r="317" spans="1:7" hidden="1" outlineLevel="1" x14ac:dyDescent="0.2">
      <c r="A317" s="17">
        <v>38322</v>
      </c>
      <c r="B317" s="5">
        <v>5122.0510000000004</v>
      </c>
      <c r="C317" s="5">
        <v>4489.3190000000004</v>
      </c>
      <c r="D317" s="6">
        <v>632.73199999999997</v>
      </c>
      <c r="E317" s="7">
        <f t="shared" si="6"/>
        <v>2.0686031413453718</v>
      </c>
      <c r="F317" s="6">
        <f t="shared" si="7"/>
        <v>193.21800000000076</v>
      </c>
      <c r="G317" s="6">
        <v>31413.353999999999</v>
      </c>
    </row>
    <row r="318" spans="1:7" collapsed="1" x14ac:dyDescent="0.2">
      <c r="A318" s="18" t="s">
        <v>39</v>
      </c>
      <c r="B318" s="14">
        <f>SUM(B306:B317)</f>
        <v>44125.216999999997</v>
      </c>
      <c r="C318" s="14">
        <f>SUM(C306:C317)</f>
        <v>42690.889000000003</v>
      </c>
      <c r="D318" s="14">
        <f>SUM(D306:D317)</f>
        <v>1434.328</v>
      </c>
      <c r="E318" s="15">
        <f>(D318/G305*100)</f>
        <v>5.1595634813204283</v>
      </c>
      <c r="F318" s="14">
        <f>SUM(F306:F317)</f>
        <v>2179.62</v>
      </c>
      <c r="G318" s="16">
        <f>G317</f>
        <v>31413.353999999999</v>
      </c>
    </row>
    <row r="319" spans="1:7" ht="20.100000000000001" hidden="1" customHeight="1" outlineLevel="1" x14ac:dyDescent="0.2">
      <c r="A319" s="17">
        <v>38353</v>
      </c>
      <c r="B319" s="5">
        <v>4455.7939999999999</v>
      </c>
      <c r="C319" s="5">
        <v>4198.5889999999999</v>
      </c>
      <c r="D319" s="6">
        <v>257.20499999999998</v>
      </c>
      <c r="E319" s="7">
        <f>(D319/G317*100)</f>
        <v>0.81877598934516838</v>
      </c>
      <c r="F319" s="6">
        <f>(G319-G317-D319)</f>
        <v>216.9719999999997</v>
      </c>
      <c r="G319" s="6">
        <v>31887.530999999999</v>
      </c>
    </row>
    <row r="320" spans="1:7" hidden="1" outlineLevel="1" x14ac:dyDescent="0.2">
      <c r="A320" s="17">
        <v>38384</v>
      </c>
      <c r="B320" s="5">
        <v>3492.7060000000001</v>
      </c>
      <c r="C320" s="5">
        <v>3772.4410000000003</v>
      </c>
      <c r="D320" s="6">
        <v>-279.73500000000001</v>
      </c>
      <c r="E320" s="7">
        <f t="shared" ref="E320:E330" si="8">(D320/G319*100)</f>
        <v>-0.87725512520865934</v>
      </c>
      <c r="F320" s="6">
        <f t="shared" ref="F320:F330" si="9">(G320-G319-D320)</f>
        <v>213.49500000000205</v>
      </c>
      <c r="G320" s="6">
        <v>31821.291000000001</v>
      </c>
    </row>
    <row r="321" spans="1:7" hidden="1" outlineLevel="1" x14ac:dyDescent="0.2">
      <c r="A321" s="17">
        <v>38412</v>
      </c>
      <c r="B321" s="5">
        <v>4057.509</v>
      </c>
      <c r="C321" s="5">
        <v>4306.2179999999998</v>
      </c>
      <c r="D321" s="6">
        <v>-248.709</v>
      </c>
      <c r="E321" s="7">
        <f t="shared" si="8"/>
        <v>-0.78158048333111307</v>
      </c>
      <c r="F321" s="6">
        <f t="shared" si="9"/>
        <v>201.90299999999951</v>
      </c>
      <c r="G321" s="6">
        <v>31774.485000000001</v>
      </c>
    </row>
    <row r="322" spans="1:7" hidden="1" outlineLevel="1" x14ac:dyDescent="0.2">
      <c r="A322" s="17">
        <v>38443</v>
      </c>
      <c r="B322" s="5">
        <v>3859.1460000000002</v>
      </c>
      <c r="C322" s="5">
        <v>4145.1460000000006</v>
      </c>
      <c r="D322" s="6">
        <v>-286</v>
      </c>
      <c r="E322" s="7">
        <f t="shared" si="8"/>
        <v>-0.90009326665719358</v>
      </c>
      <c r="F322" s="6">
        <f t="shared" si="9"/>
        <v>225.75400000000081</v>
      </c>
      <c r="G322" s="6">
        <v>31714.239000000001</v>
      </c>
    </row>
    <row r="323" spans="1:7" hidden="1" outlineLevel="1" x14ac:dyDescent="0.2">
      <c r="A323" s="17">
        <v>38473</v>
      </c>
      <c r="B323" s="5">
        <v>4113.24</v>
      </c>
      <c r="C323" s="5">
        <v>4319.3629999999994</v>
      </c>
      <c r="D323" s="6">
        <v>-206.12299999999999</v>
      </c>
      <c r="E323" s="7">
        <f t="shared" si="8"/>
        <v>-0.64993834472900325</v>
      </c>
      <c r="F323" s="6">
        <f t="shared" si="9"/>
        <v>223.80599999999725</v>
      </c>
      <c r="G323" s="6">
        <v>31731.921999999999</v>
      </c>
    </row>
    <row r="324" spans="1:7" hidden="1" outlineLevel="1" x14ac:dyDescent="0.2">
      <c r="A324" s="17">
        <v>38504</v>
      </c>
      <c r="B324" s="5">
        <v>4122.009</v>
      </c>
      <c r="C324" s="5">
        <v>4111.2929999999997</v>
      </c>
      <c r="D324" s="6">
        <v>10.715999999999999</v>
      </c>
      <c r="E324" s="7">
        <f t="shared" si="8"/>
        <v>3.3770409494892871E-2</v>
      </c>
      <c r="F324" s="6">
        <f t="shared" si="9"/>
        <v>232.85900000000072</v>
      </c>
      <c r="G324" s="6">
        <v>31975.496999999999</v>
      </c>
    </row>
    <row r="325" spans="1:7" hidden="1" outlineLevel="1" x14ac:dyDescent="0.2">
      <c r="A325" s="17">
        <v>38534</v>
      </c>
      <c r="B325" s="5">
        <v>4318.2299999999996</v>
      </c>
      <c r="C325" s="5">
        <v>4116.3759999999993</v>
      </c>
      <c r="D325" s="6">
        <v>201.85400000000001</v>
      </c>
      <c r="E325" s="7">
        <f t="shared" si="8"/>
        <v>0.63127713073545033</v>
      </c>
      <c r="F325" s="6">
        <f t="shared" si="9"/>
        <v>240.08000000000109</v>
      </c>
      <c r="G325" s="6">
        <v>32417.431</v>
      </c>
    </row>
    <row r="326" spans="1:7" hidden="1" outlineLevel="1" x14ac:dyDescent="0.2">
      <c r="A326" s="17">
        <v>38565</v>
      </c>
      <c r="B326" s="5">
        <v>4435.1769999999997</v>
      </c>
      <c r="C326" s="5">
        <v>4645.3040000000001</v>
      </c>
      <c r="D326" s="6">
        <v>-210.12700000000001</v>
      </c>
      <c r="E326" s="7">
        <f t="shared" si="8"/>
        <v>-0.64819140048451096</v>
      </c>
      <c r="F326" s="6">
        <f t="shared" si="9"/>
        <v>250.1130000000008</v>
      </c>
      <c r="G326" s="6">
        <v>32457.417000000001</v>
      </c>
    </row>
    <row r="327" spans="1:7" hidden="1" outlineLevel="1" x14ac:dyDescent="0.2">
      <c r="A327" s="17">
        <v>38596</v>
      </c>
      <c r="B327" s="5">
        <v>4062.9549999999999</v>
      </c>
      <c r="C327" s="5">
        <v>4284.4359999999997</v>
      </c>
      <c r="D327" s="6">
        <v>-221.48099999999999</v>
      </c>
      <c r="E327" s="7">
        <f t="shared" si="8"/>
        <v>-0.68237407801119843</v>
      </c>
      <c r="F327" s="6">
        <f t="shared" si="9"/>
        <v>244.14899999999784</v>
      </c>
      <c r="G327" s="6">
        <v>32480.084999999999</v>
      </c>
    </row>
    <row r="328" spans="1:7" hidden="1" outlineLevel="1" x14ac:dyDescent="0.2">
      <c r="A328" s="17">
        <v>38626</v>
      </c>
      <c r="B328" s="5">
        <v>4102.2299999999996</v>
      </c>
      <c r="C328" s="5">
        <v>4368.0189999999993</v>
      </c>
      <c r="D328" s="6">
        <v>-265.78899999999999</v>
      </c>
      <c r="E328" s="7">
        <f t="shared" si="8"/>
        <v>-0.81831374517646749</v>
      </c>
      <c r="F328" s="6">
        <f t="shared" si="9"/>
        <v>232.14800000000037</v>
      </c>
      <c r="G328" s="6">
        <v>32446.444</v>
      </c>
    </row>
    <row r="329" spans="1:7" hidden="1" outlineLevel="1" x14ac:dyDescent="0.2">
      <c r="A329" s="17">
        <v>38657</v>
      </c>
      <c r="B329" s="5">
        <v>4337.8019999999997</v>
      </c>
      <c r="C329" s="5">
        <v>4514.0129999999999</v>
      </c>
      <c r="D329" s="6">
        <v>-176.21100000000001</v>
      </c>
      <c r="E329" s="7">
        <f t="shared" si="8"/>
        <v>-0.54308262563379839</v>
      </c>
      <c r="F329" s="6">
        <f t="shared" si="9"/>
        <v>223.63399999999888</v>
      </c>
      <c r="G329" s="6">
        <v>32493.866999999998</v>
      </c>
    </row>
    <row r="330" spans="1:7" hidden="1" outlineLevel="1" x14ac:dyDescent="0.2">
      <c r="A330" s="17">
        <v>38687</v>
      </c>
      <c r="B330" s="5">
        <v>5675.31</v>
      </c>
      <c r="C330" s="5">
        <v>5068.4240000000009</v>
      </c>
      <c r="D330" s="6">
        <v>606.88599999999997</v>
      </c>
      <c r="E330" s="7">
        <f t="shared" si="8"/>
        <v>1.8676939866837026</v>
      </c>
      <c r="F330" s="6">
        <f t="shared" si="9"/>
        <v>221.98699999999963</v>
      </c>
      <c r="G330" s="6">
        <v>33322.74</v>
      </c>
    </row>
    <row r="331" spans="1:7" collapsed="1" x14ac:dyDescent="0.2">
      <c r="A331" s="18" t="s">
        <v>40</v>
      </c>
      <c r="B331" s="14">
        <f>SUM(B319:B330)</f>
        <v>51032.107999999993</v>
      </c>
      <c r="C331" s="14">
        <f>SUM(C319:C330)</f>
        <v>51849.621999999996</v>
      </c>
      <c r="D331" s="14">
        <f>SUM(D319:D330)</f>
        <v>-817.51400000000012</v>
      </c>
      <c r="E331" s="15">
        <f>(D331/G318*100)</f>
        <v>-2.6024409873584342</v>
      </c>
      <c r="F331" s="14">
        <f>SUM(F319:F330)</f>
        <v>2726.8999999999992</v>
      </c>
      <c r="G331" s="16">
        <f>G330</f>
        <v>33322.74</v>
      </c>
    </row>
    <row r="332" spans="1:7" ht="20.100000000000001" hidden="1" customHeight="1" outlineLevel="1" x14ac:dyDescent="0.2">
      <c r="A332" s="17">
        <v>38718</v>
      </c>
      <c r="B332" s="5">
        <v>5016.9679999999998</v>
      </c>
      <c r="C332" s="5">
        <v>4877.1489999999994</v>
      </c>
      <c r="D332" s="6">
        <v>139.81899999999999</v>
      </c>
      <c r="E332" s="7">
        <f>(D332/G330*100)</f>
        <v>0.41959034581189897</v>
      </c>
      <c r="F332" s="6">
        <f>(G332-G330-D332)</f>
        <v>235.68000000000345</v>
      </c>
      <c r="G332" s="6">
        <v>33698.239000000001</v>
      </c>
    </row>
    <row r="333" spans="1:7" hidden="1" outlineLevel="1" x14ac:dyDescent="0.2">
      <c r="A333" s="17">
        <v>38749</v>
      </c>
      <c r="B333" s="5">
        <v>3991.4780000000001</v>
      </c>
      <c r="C333" s="5">
        <v>4181.99</v>
      </c>
      <c r="D333" s="6">
        <v>-190.512</v>
      </c>
      <c r="E333" s="7">
        <f t="shared" ref="E333:E343" si="10">(D333/G332*100)</f>
        <v>-0.56534704973752481</v>
      </c>
      <c r="F333" s="6">
        <f t="shared" ref="F333:F343" si="11">(G333-G332-D333)</f>
        <v>208.42799999999744</v>
      </c>
      <c r="G333" s="6">
        <v>33716.154999999999</v>
      </c>
    </row>
    <row r="334" spans="1:7" hidden="1" outlineLevel="1" x14ac:dyDescent="0.2">
      <c r="A334" s="17">
        <v>38777</v>
      </c>
      <c r="B334" s="5">
        <v>4872.567</v>
      </c>
      <c r="C334" s="5">
        <v>5234.7179999999998</v>
      </c>
      <c r="D334" s="6">
        <v>-362.15100000000001</v>
      </c>
      <c r="E334" s="7">
        <f t="shared" si="10"/>
        <v>-1.0741171405814216</v>
      </c>
      <c r="F334" s="6">
        <f t="shared" si="11"/>
        <v>209.93200000000269</v>
      </c>
      <c r="G334" s="6">
        <v>33563.936000000002</v>
      </c>
    </row>
    <row r="335" spans="1:7" hidden="1" outlineLevel="1" x14ac:dyDescent="0.2">
      <c r="A335" s="17">
        <v>38808</v>
      </c>
      <c r="B335" s="5">
        <v>4007.01</v>
      </c>
      <c r="C335" s="5">
        <v>4314.4050000000007</v>
      </c>
      <c r="D335" s="6">
        <v>-307.39499999999998</v>
      </c>
      <c r="E335" s="7">
        <f t="shared" si="10"/>
        <v>-0.91584908277741917</v>
      </c>
      <c r="F335" s="6">
        <f t="shared" si="11"/>
        <v>213.25999999999794</v>
      </c>
      <c r="G335" s="6">
        <v>33469.800999999999</v>
      </c>
    </row>
    <row r="336" spans="1:7" hidden="1" outlineLevel="1" x14ac:dyDescent="0.2">
      <c r="A336" s="17">
        <v>38838</v>
      </c>
      <c r="B336" s="5">
        <v>4737.5529999999999</v>
      </c>
      <c r="C336" s="5">
        <v>4907.1170000000002</v>
      </c>
      <c r="D336" s="6">
        <v>-169.56399999999999</v>
      </c>
      <c r="E336" s="7">
        <f t="shared" si="10"/>
        <v>-0.50661789115507438</v>
      </c>
      <c r="F336" s="6">
        <f t="shared" si="11"/>
        <v>198.42600000000098</v>
      </c>
      <c r="G336" s="6">
        <v>33498.663</v>
      </c>
    </row>
    <row r="337" spans="1:7" hidden="1" outlineLevel="1" x14ac:dyDescent="0.2">
      <c r="A337" s="17">
        <v>38869</v>
      </c>
      <c r="B337" s="5">
        <v>4610.0820000000003</v>
      </c>
      <c r="C337" s="5">
        <v>4561.0790000000006</v>
      </c>
      <c r="D337" s="6">
        <v>49.003</v>
      </c>
      <c r="E337" s="7">
        <f t="shared" si="10"/>
        <v>0.14628345017829517</v>
      </c>
      <c r="F337" s="6">
        <f t="shared" si="11"/>
        <v>222.76399999999984</v>
      </c>
      <c r="G337" s="6">
        <v>33770.43</v>
      </c>
    </row>
    <row r="338" spans="1:7" hidden="1" outlineLevel="1" x14ac:dyDescent="0.2">
      <c r="A338" s="17">
        <v>38899</v>
      </c>
      <c r="B338" s="5">
        <v>5235.0550000000003</v>
      </c>
      <c r="C338" s="5">
        <v>4879.607</v>
      </c>
      <c r="D338" s="6">
        <v>355.44799999999998</v>
      </c>
      <c r="E338" s="7">
        <f t="shared" si="10"/>
        <v>1.0525421204290262</v>
      </c>
      <c r="F338" s="6">
        <f t="shared" si="11"/>
        <v>222.72100000000171</v>
      </c>
      <c r="G338" s="6">
        <v>34348.599000000002</v>
      </c>
    </row>
    <row r="339" spans="1:7" hidden="1" outlineLevel="1" x14ac:dyDescent="0.2">
      <c r="A339" s="17">
        <v>38930</v>
      </c>
      <c r="B339" s="5">
        <v>5239.3429999999998</v>
      </c>
      <c r="C339" s="5">
        <v>5199.6279999999997</v>
      </c>
      <c r="D339" s="6">
        <v>39.715000000000003</v>
      </c>
      <c r="E339" s="7">
        <f t="shared" si="10"/>
        <v>0.11562334754905142</v>
      </c>
      <c r="F339" s="6">
        <f t="shared" si="11"/>
        <v>235.17699999999982</v>
      </c>
      <c r="G339" s="6">
        <v>34623.491000000002</v>
      </c>
    </row>
    <row r="340" spans="1:7" hidden="1" outlineLevel="1" x14ac:dyDescent="0.2">
      <c r="A340" s="17">
        <v>38961</v>
      </c>
      <c r="B340" s="5">
        <v>5121.2740000000003</v>
      </c>
      <c r="C340" s="5">
        <v>4880.9110000000001</v>
      </c>
      <c r="D340" s="6">
        <v>240.363</v>
      </c>
      <c r="E340" s="7">
        <f t="shared" si="10"/>
        <v>0.69421942460972519</v>
      </c>
      <c r="F340" s="6">
        <f t="shared" si="11"/>
        <v>229.2049999999993</v>
      </c>
      <c r="G340" s="6">
        <v>35093.059000000001</v>
      </c>
    </row>
    <row r="341" spans="1:7" hidden="1" outlineLevel="1" x14ac:dyDescent="0.2">
      <c r="A341" s="17">
        <v>38991</v>
      </c>
      <c r="B341" s="5">
        <v>5267.0150000000003</v>
      </c>
      <c r="C341" s="5">
        <v>5021.6770000000006</v>
      </c>
      <c r="D341" s="6">
        <v>245.33799999999999</v>
      </c>
      <c r="E341" s="7">
        <f t="shared" si="10"/>
        <v>0.69910690886194904</v>
      </c>
      <c r="F341" s="6">
        <f t="shared" si="11"/>
        <v>228.38600000000199</v>
      </c>
      <c r="G341" s="6">
        <v>35566.783000000003</v>
      </c>
    </row>
    <row r="342" spans="1:7" hidden="1" outlineLevel="1" x14ac:dyDescent="0.2">
      <c r="A342" s="17">
        <v>39022</v>
      </c>
      <c r="B342" s="5">
        <v>5645.6509999999998</v>
      </c>
      <c r="C342" s="5">
        <v>5278.66</v>
      </c>
      <c r="D342" s="6">
        <v>366.99099999999999</v>
      </c>
      <c r="E342" s="7">
        <f t="shared" si="10"/>
        <v>1.0318363625970894</v>
      </c>
      <c r="F342" s="6">
        <f t="shared" si="11"/>
        <v>224.46399999999448</v>
      </c>
      <c r="G342" s="6">
        <v>36158.237999999998</v>
      </c>
    </row>
    <row r="343" spans="1:7" hidden="1" outlineLevel="1" x14ac:dyDescent="0.2">
      <c r="A343" s="17">
        <v>39052</v>
      </c>
      <c r="B343" s="5">
        <v>6952.7439999999997</v>
      </c>
      <c r="C343" s="5">
        <v>5815.9969999999994</v>
      </c>
      <c r="D343" s="6">
        <v>1136.7470000000001</v>
      </c>
      <c r="E343" s="7">
        <f t="shared" si="10"/>
        <v>3.1438119302162901</v>
      </c>
      <c r="F343" s="6">
        <f t="shared" si="11"/>
        <v>228.20800000000168</v>
      </c>
      <c r="G343" s="6">
        <v>37523.192999999999</v>
      </c>
    </row>
    <row r="344" spans="1:7" collapsed="1" x14ac:dyDescent="0.2">
      <c r="A344" s="18" t="s">
        <v>41</v>
      </c>
      <c r="B344" s="14">
        <f>SUM(B332:B343)</f>
        <v>60696.74</v>
      </c>
      <c r="C344" s="14">
        <f>SUM(C332:C343)</f>
        <v>59152.938000000009</v>
      </c>
      <c r="D344" s="14">
        <f>SUM(D332:D343)</f>
        <v>1543.8020000000001</v>
      </c>
      <c r="E344" s="15">
        <f>(D344/G331*100)</f>
        <v>4.6328783287328719</v>
      </c>
      <c r="F344" s="14">
        <f>SUM(F332:F343)</f>
        <v>2656.6510000000017</v>
      </c>
      <c r="G344" s="16">
        <f>G343</f>
        <v>37523.192999999999</v>
      </c>
    </row>
    <row r="345" spans="1:7" ht="20.100000000000001" hidden="1" customHeight="1" outlineLevel="1" x14ac:dyDescent="0.2">
      <c r="A345" s="17">
        <v>39083</v>
      </c>
      <c r="B345" s="5">
        <v>6712.91</v>
      </c>
      <c r="C345" s="5">
        <f t="shared" ref="C345:C356" si="12">B345-D345</f>
        <v>5891.75</v>
      </c>
      <c r="D345" s="6">
        <v>821.16</v>
      </c>
      <c r="E345" s="7">
        <f>(D345/G343*100)</f>
        <v>2.1884065143390119</v>
      </c>
      <c r="F345" s="6">
        <f>(G345-G343-D345)</f>
        <v>238.77899999999852</v>
      </c>
      <c r="G345" s="6">
        <v>38583.131999999998</v>
      </c>
    </row>
    <row r="346" spans="1:7" hidden="1" outlineLevel="1" x14ac:dyDescent="0.2">
      <c r="A346" s="17">
        <v>39114</v>
      </c>
      <c r="B346" s="5">
        <v>5326.8770000000004</v>
      </c>
      <c r="C346" s="5">
        <f t="shared" si="12"/>
        <v>5021.7020000000002</v>
      </c>
      <c r="D346" s="6">
        <v>305.17500000000001</v>
      </c>
      <c r="E346" s="7">
        <f t="shared" ref="E346:E356" si="13">(D346/G345*100)</f>
        <v>0.79095445128715847</v>
      </c>
      <c r="F346" s="6">
        <f t="shared" ref="F346:F356" si="14">(G346-G345-D346)</f>
        <v>256.22100000000063</v>
      </c>
      <c r="G346" s="6">
        <v>39144.527999999998</v>
      </c>
    </row>
    <row r="347" spans="1:7" hidden="1" outlineLevel="1" x14ac:dyDescent="0.2">
      <c r="A347" s="17">
        <v>39142</v>
      </c>
      <c r="B347" s="5">
        <v>6301.72</v>
      </c>
      <c r="C347" s="5">
        <f t="shared" si="12"/>
        <v>5871.7179999999998</v>
      </c>
      <c r="D347" s="6">
        <v>430.00200000000001</v>
      </c>
      <c r="E347" s="7">
        <f t="shared" si="13"/>
        <v>1.0984983648289233</v>
      </c>
      <c r="F347" s="6">
        <f t="shared" si="14"/>
        <v>222.02000000000447</v>
      </c>
      <c r="G347" s="6">
        <v>39796.550000000003</v>
      </c>
    </row>
    <row r="348" spans="1:7" hidden="1" outlineLevel="1" x14ac:dyDescent="0.2">
      <c r="A348" s="17">
        <v>39173</v>
      </c>
      <c r="B348" s="5">
        <v>5975.3559999999998</v>
      </c>
      <c r="C348" s="5">
        <f t="shared" si="12"/>
        <v>5616.9429999999993</v>
      </c>
      <c r="D348" s="6">
        <v>358.41300000000001</v>
      </c>
      <c r="E348" s="7">
        <f t="shared" si="13"/>
        <v>0.90061324411286914</v>
      </c>
      <c r="F348" s="6">
        <f t="shared" si="14"/>
        <v>256.73199999999679</v>
      </c>
      <c r="G348" s="6">
        <v>40411.695</v>
      </c>
    </row>
    <row r="349" spans="1:7" hidden="1" outlineLevel="1" x14ac:dyDescent="0.2">
      <c r="A349" s="17">
        <v>39203</v>
      </c>
      <c r="B349" s="5">
        <v>6593.5280000000002</v>
      </c>
      <c r="C349" s="5">
        <f t="shared" si="12"/>
        <v>6261.2530000000006</v>
      </c>
      <c r="D349" s="6">
        <v>332.27499999999998</v>
      </c>
      <c r="E349" s="7">
        <f t="shared" si="13"/>
        <v>0.82222485347372842</v>
      </c>
      <c r="F349" s="6">
        <f t="shared" si="14"/>
        <v>242.47200000000305</v>
      </c>
      <c r="G349" s="6">
        <v>40986.442000000003</v>
      </c>
    </row>
    <row r="350" spans="1:7" hidden="1" outlineLevel="1" x14ac:dyDescent="0.2">
      <c r="A350" s="17">
        <v>39234</v>
      </c>
      <c r="B350" s="5">
        <v>6046.5940000000001</v>
      </c>
      <c r="C350" s="5">
        <f t="shared" si="12"/>
        <v>5477.6850000000004</v>
      </c>
      <c r="D350" s="6">
        <v>568.90899999999999</v>
      </c>
      <c r="E350" s="7">
        <f t="shared" si="13"/>
        <v>1.3880419285967782</v>
      </c>
      <c r="F350" s="6">
        <f t="shared" si="14"/>
        <v>256.32199999999978</v>
      </c>
      <c r="G350" s="6">
        <v>41811.673000000003</v>
      </c>
    </row>
    <row r="351" spans="1:7" hidden="1" outlineLevel="1" x14ac:dyDescent="0.2">
      <c r="A351" s="17">
        <v>39264</v>
      </c>
      <c r="B351" s="5">
        <v>6849.1009999999997</v>
      </c>
      <c r="C351" s="5">
        <f t="shared" si="12"/>
        <v>6031.0549999999994</v>
      </c>
      <c r="D351" s="6">
        <v>818.04600000000005</v>
      </c>
      <c r="E351" s="7">
        <f t="shared" si="13"/>
        <v>1.956501477470179</v>
      </c>
      <c r="F351" s="6">
        <f t="shared" si="14"/>
        <v>248.37999999999943</v>
      </c>
      <c r="G351" s="6">
        <v>42878.099000000002</v>
      </c>
    </row>
    <row r="352" spans="1:7" hidden="1" outlineLevel="1" x14ac:dyDescent="0.2">
      <c r="A352" s="17">
        <v>39295</v>
      </c>
      <c r="B352" s="5">
        <v>7353.9930000000004</v>
      </c>
      <c r="C352" s="5">
        <f t="shared" si="12"/>
        <v>6473.5260000000007</v>
      </c>
      <c r="D352" s="6">
        <v>880.46699999999998</v>
      </c>
      <c r="E352" s="7">
        <f t="shared" si="13"/>
        <v>2.0534189260582658</v>
      </c>
      <c r="F352" s="6">
        <f t="shared" si="14"/>
        <v>258.7789999999992</v>
      </c>
      <c r="G352" s="6">
        <v>44017.345000000001</v>
      </c>
    </row>
    <row r="353" spans="1:8" hidden="1" outlineLevel="1" x14ac:dyDescent="0.2">
      <c r="A353" s="17">
        <v>39326</v>
      </c>
      <c r="B353" s="5">
        <v>6466.5280000000002</v>
      </c>
      <c r="C353" s="5">
        <f t="shared" si="12"/>
        <v>5709.43</v>
      </c>
      <c r="D353" s="6">
        <v>757.09799999999996</v>
      </c>
      <c r="E353" s="7">
        <f t="shared" si="13"/>
        <v>1.7199992412082099</v>
      </c>
      <c r="F353" s="6">
        <f t="shared" si="14"/>
        <v>256.55299999999806</v>
      </c>
      <c r="G353" s="6">
        <v>45030.995999999999</v>
      </c>
    </row>
    <row r="354" spans="1:8" hidden="1" outlineLevel="1" x14ac:dyDescent="0.2">
      <c r="A354" s="17">
        <v>39356</v>
      </c>
      <c r="B354" s="5">
        <v>7398.3919999999998</v>
      </c>
      <c r="C354" s="5">
        <f t="shared" si="12"/>
        <v>7061.9070000000002</v>
      </c>
      <c r="D354" s="6">
        <v>336.48500000000001</v>
      </c>
      <c r="E354" s="7">
        <f t="shared" si="13"/>
        <v>0.74722975259085989</v>
      </c>
      <c r="F354" s="6">
        <f t="shared" si="14"/>
        <v>248.17399999999964</v>
      </c>
      <c r="G354" s="6">
        <v>45615.654999999999</v>
      </c>
    </row>
    <row r="355" spans="1:8" hidden="1" outlineLevel="1" x14ac:dyDescent="0.2">
      <c r="A355" s="17">
        <v>39387</v>
      </c>
      <c r="B355" s="5">
        <v>6907.8239999999996</v>
      </c>
      <c r="C355" s="5">
        <f t="shared" si="12"/>
        <v>6591.558</v>
      </c>
      <c r="D355" s="6">
        <v>316.26600000000002</v>
      </c>
      <c r="E355" s="7">
        <f t="shared" si="13"/>
        <v>0.69332776214657021</v>
      </c>
      <c r="F355" s="6">
        <f t="shared" si="14"/>
        <v>247.18600000000475</v>
      </c>
      <c r="G355" s="6">
        <v>46179.107000000004</v>
      </c>
    </row>
    <row r="356" spans="1:8" hidden="1" outlineLevel="1" x14ac:dyDescent="0.2">
      <c r="A356" s="17">
        <v>39417</v>
      </c>
      <c r="B356" s="5">
        <v>8070.8869999999997</v>
      </c>
      <c r="C356" s="5">
        <f t="shared" si="12"/>
        <v>7067.8249999999998</v>
      </c>
      <c r="D356" s="6">
        <v>1003.062</v>
      </c>
      <c r="E356" s="7">
        <f t="shared" si="13"/>
        <v>2.172112163191029</v>
      </c>
      <c r="F356" s="6">
        <f t="shared" si="14"/>
        <v>252.21899999999539</v>
      </c>
      <c r="G356" s="6">
        <v>47434.387999999999</v>
      </c>
      <c r="H356" s="8"/>
    </row>
    <row r="357" spans="1:8" collapsed="1" x14ac:dyDescent="0.2">
      <c r="A357" s="18" t="s">
        <v>16</v>
      </c>
      <c r="B357" s="14">
        <f>SUM(B345:B356)</f>
        <v>80003.710000000006</v>
      </c>
      <c r="C357" s="14">
        <f>SUM(C345:C356)</f>
        <v>73076.351999999999</v>
      </c>
      <c r="D357" s="14">
        <f>SUM(D345:D356)</f>
        <v>6927.3579999999993</v>
      </c>
      <c r="E357" s="15">
        <f>(D357/G344*100)</f>
        <v>18.461536575525432</v>
      </c>
      <c r="F357" s="14">
        <f>SUM(F345:F356)</f>
        <v>2983.8369999999995</v>
      </c>
      <c r="G357" s="16">
        <f>G356</f>
        <v>47434.387999999999</v>
      </c>
    </row>
    <row r="358" spans="1:8" ht="20.100000000000001" customHeight="1" outlineLevel="1" x14ac:dyDescent="0.2">
      <c r="A358" s="17">
        <v>39448</v>
      </c>
      <c r="B358" s="5">
        <v>9282.0519999999997</v>
      </c>
      <c r="C358" s="5">
        <v>8118.268</v>
      </c>
      <c r="D358" s="6">
        <v>1163.7840000000001</v>
      </c>
      <c r="E358" s="7">
        <f>(D358/G356*100)</f>
        <v>2.4534605569276029</v>
      </c>
      <c r="F358" s="6">
        <f>(G358-G356-D358)</f>
        <v>255.39199999999937</v>
      </c>
      <c r="G358" s="6">
        <v>48853.563999999998</v>
      </c>
      <c r="H358" s="8"/>
    </row>
    <row r="359" spans="1:8" outlineLevel="1" x14ac:dyDescent="0.2">
      <c r="A359" s="17">
        <v>39479</v>
      </c>
      <c r="B359" s="5">
        <v>7320.0420000000004</v>
      </c>
      <c r="C359" s="5">
        <v>7050.4660000000003</v>
      </c>
      <c r="D359" s="6">
        <v>269.57600000000002</v>
      </c>
      <c r="E359" s="7">
        <f t="shared" ref="E359:E369" si="15">(D359/G358*100)</f>
        <v>0.55180416315174063</v>
      </c>
      <c r="F359" s="6">
        <f t="shared" ref="F359:F369" si="16">(G359-G358-D359)</f>
        <v>265.19800000000487</v>
      </c>
      <c r="G359" s="6">
        <v>49388.338000000003</v>
      </c>
      <c r="H359" s="8"/>
    </row>
    <row r="360" spans="1:8" outlineLevel="1" x14ac:dyDescent="0.2">
      <c r="A360" s="17">
        <v>39508</v>
      </c>
      <c r="B360" s="5">
        <v>7843.5429999999997</v>
      </c>
      <c r="C360" s="5">
        <v>7739.12</v>
      </c>
      <c r="D360" s="6">
        <v>104.423</v>
      </c>
      <c r="E360" s="7">
        <f t="shared" si="15"/>
        <v>0.2114325045722332</v>
      </c>
      <c r="F360" s="6">
        <f t="shared" si="16"/>
        <v>262.40699999999447</v>
      </c>
      <c r="G360" s="6">
        <v>49755.167999999998</v>
      </c>
      <c r="H360" s="8"/>
    </row>
    <row r="361" spans="1:8" outlineLevel="1" x14ac:dyDescent="0.2">
      <c r="A361" s="17">
        <v>39539</v>
      </c>
      <c r="B361" s="5">
        <v>8029.5379999999996</v>
      </c>
      <c r="C361" s="5">
        <v>7860.9079999999994</v>
      </c>
      <c r="D361" s="6">
        <v>168.63</v>
      </c>
      <c r="E361" s="7">
        <f t="shared" si="15"/>
        <v>0.33891956710908905</v>
      </c>
      <c r="F361" s="6">
        <f t="shared" si="16"/>
        <v>277.59499999999855</v>
      </c>
      <c r="G361" s="6">
        <v>50201.392999999996</v>
      </c>
      <c r="H361" s="8"/>
    </row>
    <row r="362" spans="1:8" outlineLevel="1" x14ac:dyDescent="0.2">
      <c r="A362" s="17">
        <v>39569</v>
      </c>
      <c r="B362" s="5">
        <v>7844.0810000000001</v>
      </c>
      <c r="C362" s="5">
        <v>7902.9250000000002</v>
      </c>
      <c r="D362" s="6">
        <v>-58.844000000000001</v>
      </c>
      <c r="E362" s="7">
        <f t="shared" si="15"/>
        <v>-0.117215870882308</v>
      </c>
      <c r="F362" s="6">
        <f t="shared" si="16"/>
        <v>268.98500000000325</v>
      </c>
      <c r="G362" s="6">
        <v>50411.534</v>
      </c>
      <c r="H362" s="8"/>
    </row>
    <row r="363" spans="1:8" outlineLevel="1" x14ac:dyDescent="0.2">
      <c r="A363" s="17">
        <v>39600</v>
      </c>
      <c r="B363" s="5">
        <v>8744.06</v>
      </c>
      <c r="C363" s="5">
        <v>8547.9699999999993</v>
      </c>
      <c r="D363" s="6">
        <v>196.09</v>
      </c>
      <c r="E363" s="7">
        <f t="shared" si="15"/>
        <v>0.3889784429095135</v>
      </c>
      <c r="F363" s="6">
        <f t="shared" si="16"/>
        <v>286.1680000000016</v>
      </c>
      <c r="G363" s="6">
        <v>50893.792000000001</v>
      </c>
      <c r="H363" s="8"/>
    </row>
    <row r="364" spans="1:8" outlineLevel="1" x14ac:dyDescent="0.2">
      <c r="A364" s="17">
        <v>39630</v>
      </c>
      <c r="B364" s="5">
        <v>9582.866</v>
      </c>
      <c r="C364" s="5">
        <v>8946.8919999999998</v>
      </c>
      <c r="D364" s="6">
        <v>635.97400000000005</v>
      </c>
      <c r="E364" s="7">
        <f t="shared" si="15"/>
        <v>1.2496101685643703</v>
      </c>
      <c r="F364" s="6">
        <f t="shared" si="16"/>
        <v>320.93599999999617</v>
      </c>
      <c r="G364" s="6">
        <v>51850.701999999997</v>
      </c>
      <c r="H364" s="8"/>
    </row>
    <row r="365" spans="1:8" outlineLevel="1" x14ac:dyDescent="0.2">
      <c r="A365" s="17">
        <v>39661</v>
      </c>
      <c r="B365" s="5">
        <v>8522.9240000000009</v>
      </c>
      <c r="C365" s="5">
        <v>8364.2230000000018</v>
      </c>
      <c r="D365" s="6">
        <v>158.70099999999999</v>
      </c>
      <c r="E365" s="7">
        <f t="shared" si="15"/>
        <v>0.30607300167314999</v>
      </c>
      <c r="F365" s="6">
        <f t="shared" si="16"/>
        <v>254.3930000000046</v>
      </c>
      <c r="G365" s="6">
        <v>52263.796000000002</v>
      </c>
      <c r="H365" s="8"/>
    </row>
    <row r="366" spans="1:8" outlineLevel="1" x14ac:dyDescent="0.2">
      <c r="A366" s="17">
        <v>39692</v>
      </c>
      <c r="B366" s="5">
        <v>9126.0969999999998</v>
      </c>
      <c r="C366" s="5">
        <v>9362.2799999999988</v>
      </c>
      <c r="D366" s="6">
        <v>-236.18299999999999</v>
      </c>
      <c r="E366" s="7">
        <f t="shared" si="15"/>
        <v>-0.45190556001711013</v>
      </c>
      <c r="F366" s="6">
        <f t="shared" si="16"/>
        <v>310.84199999999964</v>
      </c>
      <c r="G366" s="6">
        <v>52338.455000000002</v>
      </c>
      <c r="H366" s="8"/>
    </row>
    <row r="367" spans="1:8" outlineLevel="1" x14ac:dyDescent="0.2">
      <c r="A367" s="17">
        <v>39722</v>
      </c>
      <c r="B367" s="5">
        <v>10585.804</v>
      </c>
      <c r="C367" s="5">
        <v>10416.159</v>
      </c>
      <c r="D367" s="6">
        <v>169.64500000000001</v>
      </c>
      <c r="E367" s="7">
        <f t="shared" si="15"/>
        <v>0.32413069892873225</v>
      </c>
      <c r="F367" s="6">
        <f t="shared" si="16"/>
        <v>303.41099999999687</v>
      </c>
      <c r="G367" s="6">
        <v>52811.510999999999</v>
      </c>
      <c r="H367" s="8"/>
    </row>
    <row r="368" spans="1:8" outlineLevel="1" x14ac:dyDescent="0.2">
      <c r="A368" s="17">
        <v>39753</v>
      </c>
      <c r="B368" s="5">
        <v>9284.2459999999992</v>
      </c>
      <c r="C368" s="5">
        <v>8746.973</v>
      </c>
      <c r="D368" s="6">
        <v>537.27300000000002</v>
      </c>
      <c r="E368" s="7">
        <f t="shared" si="15"/>
        <v>1.0173407081649302</v>
      </c>
      <c r="F368" s="6">
        <f t="shared" si="16"/>
        <v>284.30300000000091</v>
      </c>
      <c r="G368" s="6">
        <v>53633.087</v>
      </c>
      <c r="H368" s="8"/>
    </row>
    <row r="369" spans="1:8" outlineLevel="1" x14ac:dyDescent="0.2">
      <c r="A369" s="17">
        <v>39783</v>
      </c>
      <c r="B369" s="5">
        <v>11953.422</v>
      </c>
      <c r="C369" s="5">
        <v>10875.448</v>
      </c>
      <c r="D369" s="6">
        <v>1077.9739999999999</v>
      </c>
      <c r="E369" s="7">
        <f t="shared" si="15"/>
        <v>2.009904818643014</v>
      </c>
      <c r="F369" s="6">
        <f t="shared" si="16"/>
        <v>284.39699999999925</v>
      </c>
      <c r="G369" s="6">
        <v>54995.457999999999</v>
      </c>
      <c r="H369" s="8"/>
    </row>
    <row r="370" spans="1:8" x14ac:dyDescent="0.2">
      <c r="A370" s="18" t="s">
        <v>15</v>
      </c>
      <c r="B370" s="14">
        <f>SUM(B358:B369)</f>
        <v>108118.675</v>
      </c>
      <c r="C370" s="14">
        <f>SUM(C358:C369)</f>
        <v>103931.632</v>
      </c>
      <c r="D370" s="14">
        <f>SUM(D358:D369)</f>
        <v>4187.0429999999997</v>
      </c>
      <c r="E370" s="15">
        <f>(D370/G357*100)</f>
        <v>8.8270201778507182</v>
      </c>
      <c r="F370" s="14">
        <f>SUM(F358:F369)</f>
        <v>3374.0269999999991</v>
      </c>
      <c r="G370" s="16">
        <f>G369</f>
        <v>54995.457999999999</v>
      </c>
    </row>
    <row r="371" spans="1:8" ht="20.100000000000001" customHeight="1" outlineLevel="1" x14ac:dyDescent="0.2">
      <c r="A371" s="17">
        <v>39814</v>
      </c>
      <c r="B371" s="5">
        <v>9969.7189999999991</v>
      </c>
      <c r="C371" s="5">
        <v>9510.2639999999992</v>
      </c>
      <c r="D371" s="6">
        <v>459.45499999999998</v>
      </c>
      <c r="E371" s="7">
        <f>(D371/G369*100)</f>
        <v>0.83544171956891411</v>
      </c>
      <c r="F371" s="6">
        <f>(G371-G369-D371)</f>
        <v>329.20800000000048</v>
      </c>
      <c r="G371" s="6">
        <v>55784.120999999999</v>
      </c>
      <c r="H371" s="8"/>
    </row>
    <row r="372" spans="1:8" outlineLevel="1" x14ac:dyDescent="0.2">
      <c r="A372" s="17">
        <v>39845</v>
      </c>
      <c r="B372" s="5">
        <v>8491.2019999999993</v>
      </c>
      <c r="C372" s="5">
        <v>8539.637999999999</v>
      </c>
      <c r="D372" s="6">
        <v>-48.436</v>
      </c>
      <c r="E372" s="7">
        <f t="shared" ref="E372:E381" si="17">(D372/G371*100)</f>
        <v>-8.6827575897449383E-2</v>
      </c>
      <c r="F372" s="6">
        <f t="shared" ref="F372:F382" si="18">(G372-G371-D372)</f>
        <v>282.41000000000196</v>
      </c>
      <c r="G372" s="6">
        <v>56018.095000000001</v>
      </c>
      <c r="H372" s="8"/>
    </row>
    <row r="373" spans="1:8" outlineLevel="1" x14ac:dyDescent="0.2">
      <c r="A373" s="17">
        <v>39873</v>
      </c>
      <c r="B373" s="5">
        <v>10304.913</v>
      </c>
      <c r="C373" s="5">
        <v>10263.087000000001</v>
      </c>
      <c r="D373" s="6">
        <v>41.826000000000001</v>
      </c>
      <c r="E373" s="7">
        <f t="shared" si="17"/>
        <v>7.4665159534611086E-2</v>
      </c>
      <c r="F373" s="6">
        <f t="shared" si="18"/>
        <v>297.77799999999934</v>
      </c>
      <c r="G373" s="6">
        <v>56357.699000000001</v>
      </c>
      <c r="H373" s="8"/>
    </row>
    <row r="374" spans="1:8" outlineLevel="1" x14ac:dyDescent="0.2">
      <c r="A374" s="17">
        <v>39904</v>
      </c>
      <c r="B374" s="5">
        <v>10459.276</v>
      </c>
      <c r="C374" s="5">
        <v>10874.331</v>
      </c>
      <c r="D374" s="6">
        <v>-415.05500000000001</v>
      </c>
      <c r="E374" s="7">
        <f t="shared" si="17"/>
        <v>-0.73646548273732748</v>
      </c>
      <c r="F374" s="6">
        <f t="shared" si="18"/>
        <v>316.11699999999809</v>
      </c>
      <c r="G374" s="6">
        <v>56258.760999999999</v>
      </c>
      <c r="H374" s="8"/>
    </row>
    <row r="375" spans="1:8" outlineLevel="1" x14ac:dyDescent="0.2">
      <c r="A375" s="17">
        <v>39934</v>
      </c>
      <c r="B375" s="5">
        <v>10839.137000000001</v>
      </c>
      <c r="C375" s="5">
        <v>10332.437</v>
      </c>
      <c r="D375" s="6">
        <v>506.7</v>
      </c>
      <c r="E375" s="7">
        <f t="shared" si="17"/>
        <v>0.90065972124768257</v>
      </c>
      <c r="F375" s="6">
        <f t="shared" si="18"/>
        <v>286.18100000000123</v>
      </c>
      <c r="G375" s="6">
        <v>57051.642</v>
      </c>
      <c r="H375" s="8"/>
    </row>
    <row r="376" spans="1:8" outlineLevel="1" x14ac:dyDescent="0.2">
      <c r="A376" s="17">
        <v>39965</v>
      </c>
      <c r="B376" s="5">
        <v>10910.364</v>
      </c>
      <c r="C376" s="5">
        <v>10609.421999999999</v>
      </c>
      <c r="D376" s="6">
        <v>300.94200000000001</v>
      </c>
      <c r="E376" s="7">
        <f t="shared" si="17"/>
        <v>0.52749051464636199</v>
      </c>
      <c r="F376" s="6">
        <f t="shared" si="18"/>
        <v>319.57200000000284</v>
      </c>
      <c r="G376" s="6">
        <v>57672.156000000003</v>
      </c>
      <c r="H376" s="8"/>
    </row>
    <row r="377" spans="1:8" outlineLevel="1" x14ac:dyDescent="0.2">
      <c r="A377" s="17">
        <v>39995</v>
      </c>
      <c r="B377" s="5">
        <v>12458.628000000001</v>
      </c>
      <c r="C377" s="5">
        <v>10878.971000000001</v>
      </c>
      <c r="D377" s="6">
        <v>1579.6569999999999</v>
      </c>
      <c r="E377" s="7">
        <f t="shared" si="17"/>
        <v>2.7390288651598182</v>
      </c>
      <c r="F377" s="6">
        <f t="shared" si="18"/>
        <v>304.84199999999623</v>
      </c>
      <c r="G377" s="6">
        <v>59556.654999999999</v>
      </c>
      <c r="H377" s="8"/>
    </row>
    <row r="378" spans="1:8" outlineLevel="1" x14ac:dyDescent="0.2">
      <c r="A378" s="17">
        <v>40026</v>
      </c>
      <c r="B378" s="5">
        <v>12248.882</v>
      </c>
      <c r="C378" s="5">
        <v>11686.543</v>
      </c>
      <c r="D378" s="6">
        <v>562.33900000000006</v>
      </c>
      <c r="E378" s="7">
        <f t="shared" si="17"/>
        <v>0.94420850197177808</v>
      </c>
      <c r="F378" s="6">
        <f t="shared" si="18"/>
        <v>317.99100000000169</v>
      </c>
      <c r="G378" s="6">
        <v>60436.985000000001</v>
      </c>
      <c r="H378" s="8"/>
    </row>
    <row r="379" spans="1:8" outlineLevel="1" x14ac:dyDescent="0.2">
      <c r="A379" s="17">
        <v>40057</v>
      </c>
      <c r="B379" s="5">
        <v>11534.668</v>
      </c>
      <c r="C379" s="5">
        <v>11394.416999999999</v>
      </c>
      <c r="D379" s="6">
        <v>140.251</v>
      </c>
      <c r="E379" s="7">
        <f t="shared" si="17"/>
        <v>0.23206154310973656</v>
      </c>
      <c r="F379" s="6">
        <f t="shared" si="18"/>
        <v>306.2210000000016</v>
      </c>
      <c r="G379" s="6">
        <v>60883.457000000002</v>
      </c>
      <c r="H379" s="8"/>
    </row>
    <row r="380" spans="1:8" outlineLevel="1" x14ac:dyDescent="0.2">
      <c r="A380" s="17">
        <v>40087</v>
      </c>
      <c r="B380" s="5">
        <v>11255.987999999999</v>
      </c>
      <c r="C380" s="5">
        <v>11055.445</v>
      </c>
      <c r="D380" s="6">
        <v>200.54300000000001</v>
      </c>
      <c r="E380" s="7">
        <f t="shared" si="17"/>
        <v>0.32938832629034187</v>
      </c>
      <c r="F380" s="6">
        <f t="shared" si="18"/>
        <v>299.13999999999726</v>
      </c>
      <c r="G380" s="6">
        <v>61383.14</v>
      </c>
      <c r="H380" s="8"/>
    </row>
    <row r="381" spans="1:8" outlineLevel="1" x14ac:dyDescent="0.2">
      <c r="A381" s="17">
        <v>40118</v>
      </c>
      <c r="B381" s="5">
        <v>12959.24</v>
      </c>
      <c r="C381" s="5">
        <v>12541.83</v>
      </c>
      <c r="D381" s="6">
        <v>417.40999999999985</v>
      </c>
      <c r="E381" s="7">
        <f t="shared" si="17"/>
        <v>0.68000757211182072</v>
      </c>
      <c r="F381" s="6">
        <f t="shared" si="18"/>
        <v>1352.9770000000026</v>
      </c>
      <c r="G381" s="6">
        <v>63153.527000000002</v>
      </c>
      <c r="H381" s="8"/>
    </row>
    <row r="382" spans="1:8" outlineLevel="1" x14ac:dyDescent="0.2">
      <c r="A382" s="17">
        <v>40148</v>
      </c>
      <c r="B382" s="5">
        <v>15430.767</v>
      </c>
      <c r="C382" s="5">
        <v>13423.748</v>
      </c>
      <c r="D382" s="6">
        <v>2007.0190000000002</v>
      </c>
      <c r="E382" s="7">
        <f>(D382/G381*100)</f>
        <v>3.1779998605620237</v>
      </c>
      <c r="F382" s="6">
        <f t="shared" si="18"/>
        <v>317.4519999999975</v>
      </c>
      <c r="G382" s="6">
        <v>65477.998</v>
      </c>
      <c r="H382" s="8"/>
    </row>
    <row r="383" spans="1:8" x14ac:dyDescent="0.2">
      <c r="A383" s="18" t="s">
        <v>96</v>
      </c>
      <c r="B383" s="14">
        <f>SUM(B371:B382)</f>
        <v>136862.78400000001</v>
      </c>
      <c r="C383" s="14">
        <f>SUM(C371:C382)</f>
        <v>131110.133</v>
      </c>
      <c r="D383" s="14">
        <f>SUM(D371:D382)</f>
        <v>5752.6509999999998</v>
      </c>
      <c r="E383" s="15">
        <f>(D383/G370*100)</f>
        <v>10.460229279297938</v>
      </c>
      <c r="F383" s="14">
        <f>SUM(F371:F382)</f>
        <v>4729.889000000001</v>
      </c>
      <c r="G383" s="16">
        <f>G382</f>
        <v>65477.998</v>
      </c>
    </row>
    <row r="384" spans="1:8" outlineLevel="1" x14ac:dyDescent="0.2">
      <c r="A384" s="17">
        <v>40179</v>
      </c>
      <c r="B384" s="5">
        <v>13327.68</v>
      </c>
      <c r="C384" s="5">
        <v>12541.768</v>
      </c>
      <c r="D384" s="6">
        <v>785.91200000000003</v>
      </c>
      <c r="E384" s="7">
        <f>(D384/G382*100)</f>
        <v>1.2002688292332946</v>
      </c>
      <c r="F384" s="6">
        <f>(G384-G382-D384)</f>
        <v>288.39300000000026</v>
      </c>
      <c r="G384" s="6">
        <v>66552.303</v>
      </c>
    </row>
    <row r="385" spans="1:7" outlineLevel="1" x14ac:dyDescent="0.2">
      <c r="A385" s="17">
        <v>40210</v>
      </c>
      <c r="B385" s="5">
        <v>11365.358</v>
      </c>
      <c r="C385" s="5">
        <v>10893.701999999999</v>
      </c>
      <c r="D385" s="6">
        <v>471.65600000000001</v>
      </c>
      <c r="E385" s="7">
        <f>(D385/G384*100)</f>
        <v>0.70869974251679912</v>
      </c>
      <c r="F385" s="6">
        <f>(G385-G384-D385)</f>
        <v>264.61499999999336</v>
      </c>
      <c r="G385" s="6">
        <v>67288.573999999993</v>
      </c>
    </row>
    <row r="386" spans="1:7" outlineLevel="1" x14ac:dyDescent="0.2">
      <c r="A386" s="17">
        <v>40238</v>
      </c>
      <c r="B386" s="5">
        <v>14066.727999999997</v>
      </c>
      <c r="C386" s="5">
        <v>13598.896999999997</v>
      </c>
      <c r="D386" s="6">
        <v>467.83100000000002</v>
      </c>
      <c r="E386" s="7">
        <f t="shared" ref="E386:E391" si="19">(D386/G385*100)</f>
        <v>0.69526068422849929</v>
      </c>
      <c r="F386" s="6">
        <f t="shared" ref="F386:F391" si="20">(G386-G385-D386)</f>
        <v>289.28900000000988</v>
      </c>
      <c r="G386" s="6">
        <v>68045.694000000003</v>
      </c>
    </row>
    <row r="387" spans="1:7" outlineLevel="1" x14ac:dyDescent="0.2">
      <c r="A387" s="17">
        <v>40269</v>
      </c>
      <c r="B387" s="5">
        <v>12656.929999999998</v>
      </c>
      <c r="C387" s="5">
        <v>12127.803999999998</v>
      </c>
      <c r="D387" s="6">
        <v>529.12599999999998</v>
      </c>
      <c r="E387" s="7">
        <f t="shared" si="19"/>
        <v>0.77760394360883422</v>
      </c>
      <c r="F387" s="6">
        <f t="shared" si="20"/>
        <v>294.24499999999921</v>
      </c>
      <c r="G387" s="6">
        <v>68869.065000000002</v>
      </c>
    </row>
    <row r="388" spans="1:7" outlineLevel="1" x14ac:dyDescent="0.2">
      <c r="A388" s="17">
        <v>40299</v>
      </c>
      <c r="B388" s="5">
        <v>18541.790999999997</v>
      </c>
      <c r="C388" s="5">
        <v>17982.383999999998</v>
      </c>
      <c r="D388" s="6">
        <v>559.40700000000004</v>
      </c>
      <c r="E388" s="7">
        <f t="shared" si="19"/>
        <v>0.81227616492252375</v>
      </c>
      <c r="F388" s="6">
        <f t="shared" si="20"/>
        <v>296.19499999999891</v>
      </c>
      <c r="G388" s="6">
        <v>69724.667000000001</v>
      </c>
    </row>
    <row r="389" spans="1:7" outlineLevel="1" x14ac:dyDescent="0.2">
      <c r="A389" s="17">
        <v>40330</v>
      </c>
      <c r="B389" s="5">
        <v>16144.877999999997</v>
      </c>
      <c r="C389" s="5">
        <v>15543.177999999996</v>
      </c>
      <c r="D389" s="6">
        <v>601.70000000000005</v>
      </c>
      <c r="E389" s="7">
        <f t="shared" si="19"/>
        <v>0.86296575643738838</v>
      </c>
      <c r="F389" s="6">
        <f t="shared" si="20"/>
        <v>352.01399999999262</v>
      </c>
      <c r="G389" s="6">
        <v>70678.380999999994</v>
      </c>
    </row>
    <row r="390" spans="1:7" outlineLevel="1" x14ac:dyDescent="0.2">
      <c r="A390" s="17">
        <v>40360</v>
      </c>
      <c r="B390" s="5">
        <v>15416.002000000002</v>
      </c>
      <c r="C390" s="5">
        <v>13905.231000000002</v>
      </c>
      <c r="D390" s="6">
        <v>1510.771</v>
      </c>
      <c r="E390" s="7">
        <f t="shared" si="19"/>
        <v>2.1375291547778943</v>
      </c>
      <c r="F390" s="6">
        <f t="shared" si="20"/>
        <v>394.27400000001285</v>
      </c>
      <c r="G390" s="6">
        <v>72583.426000000007</v>
      </c>
    </row>
    <row r="391" spans="1:7" outlineLevel="1" x14ac:dyDescent="0.2">
      <c r="A391" s="17">
        <v>40391</v>
      </c>
      <c r="B391" s="5">
        <v>15442.315000000001</v>
      </c>
      <c r="C391" s="5">
        <v>14806.224</v>
      </c>
      <c r="D391" s="6">
        <v>636.09100000000001</v>
      </c>
      <c r="E391" s="7">
        <f t="shared" si="19"/>
        <v>0.87635846784085392</v>
      </c>
      <c r="F391" s="6">
        <f t="shared" si="20"/>
        <v>420.492999999988</v>
      </c>
      <c r="G391" s="6">
        <v>73640.009999999995</v>
      </c>
    </row>
    <row r="392" spans="1:7" outlineLevel="1" x14ac:dyDescent="0.2">
      <c r="A392" s="17">
        <v>40422</v>
      </c>
      <c r="B392" s="5">
        <v>14974.991999999998</v>
      </c>
      <c r="C392" s="5">
        <v>13887.525</v>
      </c>
      <c r="D392" s="6">
        <f>B392-C392</f>
        <v>1087.4669999999987</v>
      </c>
      <c r="E392" s="7">
        <f>(D392/G391*100)</f>
        <v>1.4767339113614988</v>
      </c>
      <c r="F392" s="6">
        <f>(G392-G391-D392)</f>
        <v>411.68700000001081</v>
      </c>
      <c r="G392" s="6">
        <v>75139.164000000004</v>
      </c>
    </row>
    <row r="393" spans="1:7" outlineLevel="1" x14ac:dyDescent="0.2">
      <c r="A393" s="17">
        <v>40452</v>
      </c>
      <c r="B393" s="5">
        <v>13748.772999999997</v>
      </c>
      <c r="C393" s="5">
        <v>13354.241999999998</v>
      </c>
      <c r="D393" s="6">
        <f>B393-C393</f>
        <v>394.53099999999904</v>
      </c>
      <c r="E393" s="7">
        <f>(D393/G392*100)</f>
        <v>0.52506706090048993</v>
      </c>
      <c r="F393" s="6">
        <f>(G393-G392-D393)</f>
        <v>407.18900000000212</v>
      </c>
      <c r="G393" s="6">
        <v>75940.884000000005</v>
      </c>
    </row>
    <row r="394" spans="1:7" outlineLevel="1" x14ac:dyDescent="0.2">
      <c r="A394" s="17">
        <v>40483</v>
      </c>
      <c r="B394" s="5">
        <v>15376.933999999997</v>
      </c>
      <c r="C394" s="5">
        <v>14768.311</v>
      </c>
      <c r="D394" s="6">
        <f t="shared" ref="D394:D406" si="21">B394-C394</f>
        <v>608.62299999999777</v>
      </c>
      <c r="E394" s="7">
        <f>(D394/G393*100)</f>
        <v>0.80144313305596726</v>
      </c>
      <c r="F394" s="6">
        <f>(G394-G393-D394)</f>
        <v>401.62300000000141</v>
      </c>
      <c r="G394" s="6">
        <v>76951.13</v>
      </c>
    </row>
    <row r="395" spans="1:7" outlineLevel="1" x14ac:dyDescent="0.2">
      <c r="A395" s="17">
        <v>40513</v>
      </c>
      <c r="B395" s="5">
        <v>18999.141</v>
      </c>
      <c r="C395" s="5">
        <v>17438.954999999998</v>
      </c>
      <c r="D395" s="6">
        <f t="shared" si="21"/>
        <v>1560.1860000000015</v>
      </c>
      <c r="E395" s="7">
        <f>(D395/G394*100)</f>
        <v>2.0275023901533369</v>
      </c>
      <c r="F395" s="6">
        <f>(G395-G394-D395)</f>
        <v>409.25799999998708</v>
      </c>
      <c r="G395" s="6">
        <v>78920.573999999993</v>
      </c>
    </row>
    <row r="396" spans="1:7" x14ac:dyDescent="0.2">
      <c r="A396" s="18" t="s">
        <v>97</v>
      </c>
      <c r="B396" s="14">
        <f>SUM(B384:B395)</f>
        <v>180061.522</v>
      </c>
      <c r="C396" s="14">
        <f>SUM(C384:C395)</f>
        <v>170848.22099999996</v>
      </c>
      <c r="D396" s="14">
        <f>SUM(D384:D395)</f>
        <v>9213.3009999999958</v>
      </c>
      <c r="E396" s="15">
        <f>(D396/G383*100)</f>
        <v>14.070834908544388</v>
      </c>
      <c r="F396" s="14">
        <f>SUM(F384:F395)</f>
        <v>4229.274999999996</v>
      </c>
      <c r="G396" s="16">
        <f>G395</f>
        <v>78920.573999999993</v>
      </c>
    </row>
    <row r="397" spans="1:7" outlineLevel="1" x14ac:dyDescent="0.2">
      <c r="A397" s="17">
        <v>40544</v>
      </c>
      <c r="B397" s="5">
        <v>15368.876</v>
      </c>
      <c r="C397" s="5">
        <v>14892.625</v>
      </c>
      <c r="D397" s="6">
        <f t="shared" si="21"/>
        <v>476.2510000000002</v>
      </c>
      <c r="E397" s="7">
        <f>(D397/G395*100)</f>
        <v>0.6034560772454598</v>
      </c>
      <c r="F397" s="6">
        <f>(G397-G395-D397)</f>
        <v>454.20500000000538</v>
      </c>
      <c r="G397" s="6">
        <v>79851.03</v>
      </c>
    </row>
    <row r="398" spans="1:7" outlineLevel="1" x14ac:dyDescent="0.2">
      <c r="A398" s="17">
        <v>40575</v>
      </c>
      <c r="B398" s="5">
        <v>14311.37</v>
      </c>
      <c r="C398" s="5">
        <v>14694.023000000001</v>
      </c>
      <c r="D398" s="6">
        <f t="shared" si="21"/>
        <v>-382.65300000000025</v>
      </c>
      <c r="E398" s="7">
        <f>(D398/G397*100)</f>
        <v>-0.47920859630739926</v>
      </c>
      <c r="F398" s="6">
        <f>(G398-G397-D398)</f>
        <v>460.63500000000386</v>
      </c>
      <c r="G398" s="6">
        <v>79929.012000000002</v>
      </c>
    </row>
    <row r="399" spans="1:7" outlineLevel="1" x14ac:dyDescent="0.2">
      <c r="A399" s="17">
        <v>40603</v>
      </c>
      <c r="B399" s="5">
        <v>15230.168999999998</v>
      </c>
      <c r="C399" s="5">
        <v>15382.827999999998</v>
      </c>
      <c r="D399" s="6">
        <f t="shared" si="21"/>
        <v>-152.65899999999965</v>
      </c>
      <c r="E399" s="7">
        <f t="shared" ref="E399:E404" si="22">(D399/G398*100)</f>
        <v>-0.19099322784072403</v>
      </c>
      <c r="F399" s="6">
        <f t="shared" ref="F399:F404" si="23">(G399-G398-D399)</f>
        <v>411.24300000000221</v>
      </c>
      <c r="G399" s="6">
        <v>80187.596000000005</v>
      </c>
    </row>
    <row r="400" spans="1:7" outlineLevel="1" x14ac:dyDescent="0.2">
      <c r="A400" s="17">
        <v>40634</v>
      </c>
      <c r="B400" s="5">
        <v>13924.360000000002</v>
      </c>
      <c r="C400" s="5">
        <v>15074.997000000003</v>
      </c>
      <c r="D400" s="6">
        <f t="shared" si="21"/>
        <v>-1150.6370000000006</v>
      </c>
      <c r="E400" s="7">
        <f t="shared" si="22"/>
        <v>-1.4349314075957589</v>
      </c>
      <c r="F400" s="6">
        <f t="shared" si="23"/>
        <v>469.79799999999341</v>
      </c>
      <c r="G400" s="6">
        <v>79506.756999999998</v>
      </c>
    </row>
    <row r="401" spans="1:7" outlineLevel="1" x14ac:dyDescent="0.2">
      <c r="A401" s="17">
        <v>40664</v>
      </c>
      <c r="B401" s="5">
        <v>15877.222</v>
      </c>
      <c r="C401" s="5">
        <v>16529.125</v>
      </c>
      <c r="D401" s="6">
        <f t="shared" si="21"/>
        <v>-651.90300000000025</v>
      </c>
      <c r="E401" s="7">
        <f t="shared" si="22"/>
        <v>-0.81993408434455484</v>
      </c>
      <c r="F401" s="6">
        <f t="shared" si="23"/>
        <v>438.204000000007</v>
      </c>
      <c r="G401" s="6">
        <v>79293.058000000005</v>
      </c>
    </row>
    <row r="402" spans="1:7" outlineLevel="1" x14ac:dyDescent="0.2">
      <c r="A402" s="17">
        <v>40695</v>
      </c>
      <c r="B402" s="5">
        <v>16117.601000000001</v>
      </c>
      <c r="C402" s="5">
        <v>17088.066999999999</v>
      </c>
      <c r="D402" s="6">
        <f t="shared" si="21"/>
        <v>-970.46599999999853</v>
      </c>
      <c r="E402" s="7">
        <f t="shared" si="22"/>
        <v>-1.2238978095661268</v>
      </c>
      <c r="F402" s="6">
        <f t="shared" si="23"/>
        <v>487.81199999998898</v>
      </c>
      <c r="G402" s="6">
        <v>78810.403999999995</v>
      </c>
    </row>
    <row r="403" spans="1:7" outlineLevel="1" x14ac:dyDescent="0.2">
      <c r="A403" s="17">
        <v>40725</v>
      </c>
      <c r="B403" s="5">
        <v>17588.010999999999</v>
      </c>
      <c r="C403" s="5">
        <v>15616.998</v>
      </c>
      <c r="D403" s="6">
        <f t="shared" si="21"/>
        <v>1971.012999999999</v>
      </c>
      <c r="E403" s="7">
        <f t="shared" si="22"/>
        <v>2.5009553307200392</v>
      </c>
      <c r="F403" s="6">
        <f t="shared" si="23"/>
        <v>462.86700000000565</v>
      </c>
      <c r="G403" s="6">
        <v>81244.284</v>
      </c>
    </row>
    <row r="404" spans="1:7" outlineLevel="1" x14ac:dyDescent="0.2">
      <c r="A404" s="17">
        <v>40756</v>
      </c>
      <c r="B404" s="5">
        <v>19015.221999999998</v>
      </c>
      <c r="C404" s="5">
        <v>17700.935999999998</v>
      </c>
      <c r="D404" s="6">
        <f t="shared" si="21"/>
        <v>1314.2860000000001</v>
      </c>
      <c r="E404" s="7">
        <f t="shared" si="22"/>
        <v>1.6176965754292327</v>
      </c>
      <c r="F404" s="6">
        <f t="shared" si="23"/>
        <v>515.30600000000413</v>
      </c>
      <c r="G404" s="6">
        <v>83073.876000000004</v>
      </c>
    </row>
    <row r="405" spans="1:7" outlineLevel="1" x14ac:dyDescent="0.2">
      <c r="A405" s="17">
        <v>40787</v>
      </c>
      <c r="B405" s="5">
        <v>17688.300999999999</v>
      </c>
      <c r="C405" s="5">
        <v>16311.909</v>
      </c>
      <c r="D405" s="6">
        <f t="shared" si="21"/>
        <v>1376.3919999999998</v>
      </c>
      <c r="E405" s="7">
        <f>(D405/G404*100)</f>
        <v>1.6568289169509796</v>
      </c>
      <c r="F405" s="6">
        <f>(G405-G404-D405)</f>
        <v>523.41999999999098</v>
      </c>
      <c r="G405" s="6">
        <v>84973.687999999995</v>
      </c>
    </row>
    <row r="406" spans="1:7" outlineLevel="1" x14ac:dyDescent="0.2">
      <c r="A406" s="17">
        <v>40817</v>
      </c>
      <c r="B406" s="5">
        <v>16333.592000000001</v>
      </c>
      <c r="C406" s="5">
        <v>15741.559000000001</v>
      </c>
      <c r="D406" s="6">
        <f t="shared" si="21"/>
        <v>592.03299999999945</v>
      </c>
      <c r="E406" s="7">
        <f>(D406/G405*100)</f>
        <v>0.69672508506397834</v>
      </c>
      <c r="F406" s="6">
        <f>(G406-G405-D406)</f>
        <v>496.27200000000812</v>
      </c>
      <c r="G406" s="6">
        <v>86061.993000000002</v>
      </c>
    </row>
    <row r="407" spans="1:7" outlineLevel="1" x14ac:dyDescent="0.2">
      <c r="A407" s="17">
        <v>40848</v>
      </c>
      <c r="B407" s="5">
        <v>17758.282999999996</v>
      </c>
      <c r="C407" s="5">
        <v>17705.634000000002</v>
      </c>
      <c r="D407" s="6">
        <f>B407-C407</f>
        <v>52.648999999993976</v>
      </c>
      <c r="E407" s="7">
        <f>(D407/G406*100)</f>
        <v>6.1175669031966265E-2</v>
      </c>
      <c r="F407" s="6">
        <f>(G407-G406-D407)</f>
        <v>477.7970000000023</v>
      </c>
      <c r="G407" s="6">
        <v>86592.438999999998</v>
      </c>
    </row>
    <row r="408" spans="1:7" outlineLevel="1" x14ac:dyDescent="0.2">
      <c r="A408" s="17">
        <v>40878</v>
      </c>
      <c r="B408" s="5">
        <v>23232.956000000002</v>
      </c>
      <c r="C408" s="5">
        <v>20862.605</v>
      </c>
      <c r="D408" s="6">
        <f>B408-C408</f>
        <v>2370.3510000000024</v>
      </c>
      <c r="E408" s="7">
        <f>(D408/G407*100)</f>
        <v>2.7373648639230526</v>
      </c>
      <c r="F408" s="6">
        <f>(G408-G407-D408)</f>
        <v>476.93199999999342</v>
      </c>
      <c r="G408" s="6">
        <v>89439.721999999994</v>
      </c>
    </row>
    <row r="409" spans="1:7" x14ac:dyDescent="0.2">
      <c r="A409" s="18" t="s">
        <v>98</v>
      </c>
      <c r="B409" s="14">
        <f>SUM(B397:B408)</f>
        <v>202445.96299999999</v>
      </c>
      <c r="C409" s="14">
        <f>SUM(C397:C408)</f>
        <v>197601.30600000001</v>
      </c>
      <c r="D409" s="14">
        <f>SUM(D397:D408)</f>
        <v>4844.6569999999956</v>
      </c>
      <c r="E409" s="15">
        <f>(D409/G396*100)</f>
        <v>6.1386489662378736</v>
      </c>
      <c r="F409" s="14">
        <f>SUM(F397:F408)</f>
        <v>5674.4910000000054</v>
      </c>
      <c r="G409" s="16">
        <f>G408</f>
        <v>89439.721999999994</v>
      </c>
    </row>
    <row r="410" spans="1:7" outlineLevel="1" x14ac:dyDescent="0.2">
      <c r="A410" s="17">
        <v>40909</v>
      </c>
      <c r="B410" s="5">
        <v>19037.599999999999</v>
      </c>
      <c r="C410" s="5">
        <v>18633.121999999999</v>
      </c>
      <c r="D410" s="6">
        <f t="shared" ref="D410:D418" si="24">B410-C410</f>
        <v>404.47799999999916</v>
      </c>
      <c r="E410" s="7">
        <f>(D410/G408*100)</f>
        <v>0.45223530547199065</v>
      </c>
      <c r="F410" s="6">
        <f t="shared" ref="F410:F421" si="25">(G410-G409-D410)</f>
        <v>514.94900000001144</v>
      </c>
      <c r="G410" s="6">
        <v>90359.149000000005</v>
      </c>
    </row>
    <row r="411" spans="1:7" outlineLevel="1" x14ac:dyDescent="0.2">
      <c r="A411" s="17">
        <v>40940</v>
      </c>
      <c r="B411" s="5">
        <v>16223.384</v>
      </c>
      <c r="C411" s="5">
        <v>16426.238000000001</v>
      </c>
      <c r="D411" s="6">
        <f t="shared" si="24"/>
        <v>-202.85400000000118</v>
      </c>
      <c r="E411" s="7">
        <f t="shared" ref="E411:E418" si="26">(D411/G410*100)</f>
        <v>-0.22449746621673161</v>
      </c>
      <c r="F411" s="6">
        <f t="shared" si="25"/>
        <v>505.75600000000304</v>
      </c>
      <c r="G411" s="6">
        <v>90662.051000000007</v>
      </c>
    </row>
    <row r="412" spans="1:7" outlineLevel="1" x14ac:dyDescent="0.2">
      <c r="A412" s="17">
        <v>40969</v>
      </c>
      <c r="B412" s="5">
        <v>18705.552</v>
      </c>
      <c r="C412" s="5">
        <v>18687.965</v>
      </c>
      <c r="D412" s="6">
        <f t="shared" si="24"/>
        <v>17.586999999999534</v>
      </c>
      <c r="E412" s="7">
        <f t="shared" si="26"/>
        <v>1.9398414006759603E-2</v>
      </c>
      <c r="F412" s="6">
        <f t="shared" si="25"/>
        <v>455.28199999999197</v>
      </c>
      <c r="G412" s="6">
        <v>91134.92</v>
      </c>
    </row>
    <row r="413" spans="1:7" outlineLevel="1" x14ac:dyDescent="0.2">
      <c r="A413" s="17">
        <v>41000</v>
      </c>
      <c r="B413" s="5">
        <v>18606.128000000001</v>
      </c>
      <c r="C413" s="5">
        <v>18170.61</v>
      </c>
      <c r="D413" s="6">
        <f t="shared" si="24"/>
        <v>435.51800000000003</v>
      </c>
      <c r="E413" s="7">
        <f t="shared" si="26"/>
        <v>0.47788268207181184</v>
      </c>
      <c r="F413" s="6">
        <f t="shared" si="25"/>
        <v>504.05699999999706</v>
      </c>
      <c r="G413" s="6">
        <v>92074.494999999995</v>
      </c>
    </row>
    <row r="414" spans="1:7" outlineLevel="1" x14ac:dyDescent="0.2">
      <c r="A414" s="17">
        <v>41030</v>
      </c>
      <c r="B414" s="5">
        <v>18454.722000000002</v>
      </c>
      <c r="C414" s="5">
        <v>17112.233</v>
      </c>
      <c r="D414" s="6">
        <f t="shared" si="24"/>
        <v>1342.4890000000014</v>
      </c>
      <c r="E414" s="7">
        <f t="shared" si="26"/>
        <v>1.4580465524138921</v>
      </c>
      <c r="F414" s="6">
        <f t="shared" si="25"/>
        <v>458.22800000000279</v>
      </c>
      <c r="G414" s="6">
        <v>93875.212</v>
      </c>
    </row>
    <row r="415" spans="1:7" outlineLevel="1" x14ac:dyDescent="0.2">
      <c r="A415" s="17">
        <v>41061</v>
      </c>
      <c r="B415" s="5">
        <v>18045.352999999999</v>
      </c>
      <c r="C415" s="5">
        <v>17024.562999999998</v>
      </c>
      <c r="D415" s="6">
        <f t="shared" si="24"/>
        <v>1020.7900000000009</v>
      </c>
      <c r="E415" s="7">
        <f t="shared" si="26"/>
        <v>1.0873903539094014</v>
      </c>
      <c r="F415" s="6">
        <f t="shared" si="25"/>
        <v>471.64300000000367</v>
      </c>
      <c r="G415" s="6">
        <v>95367.645000000004</v>
      </c>
    </row>
    <row r="416" spans="1:7" outlineLevel="1" x14ac:dyDescent="0.2">
      <c r="A416" s="17">
        <v>41091</v>
      </c>
      <c r="B416" s="5">
        <v>20556.958999999999</v>
      </c>
      <c r="C416" s="5">
        <v>18353.14</v>
      </c>
      <c r="D416" s="6">
        <f t="shared" si="24"/>
        <v>2203.8189999999995</v>
      </c>
      <c r="E416" s="7">
        <f t="shared" si="26"/>
        <v>2.3108665417920298</v>
      </c>
      <c r="F416" s="6">
        <f t="shared" si="25"/>
        <v>461.5779999999977</v>
      </c>
      <c r="G416" s="6">
        <v>98033.042000000001</v>
      </c>
    </row>
    <row r="417" spans="1:7" outlineLevel="1" x14ac:dyDescent="0.2">
      <c r="A417" s="17">
        <v>41122</v>
      </c>
      <c r="B417" s="5">
        <v>19929.268</v>
      </c>
      <c r="C417" s="5">
        <v>18542.754000000001</v>
      </c>
      <c r="D417" s="6">
        <f t="shared" si="24"/>
        <v>1386.5139999999992</v>
      </c>
      <c r="E417" s="7">
        <f t="shared" si="26"/>
        <v>1.4143333428335307</v>
      </c>
      <c r="F417" s="6">
        <f t="shared" si="25"/>
        <v>474.81899999999951</v>
      </c>
      <c r="G417" s="6">
        <v>99894.375</v>
      </c>
    </row>
    <row r="418" spans="1:7" outlineLevel="1" x14ac:dyDescent="0.2">
      <c r="A418" s="17">
        <v>41153</v>
      </c>
      <c r="B418" s="5">
        <v>17585.419000000002</v>
      </c>
      <c r="C418" s="5">
        <v>15902.347</v>
      </c>
      <c r="D418" s="6">
        <f t="shared" si="24"/>
        <v>1683.0720000000019</v>
      </c>
      <c r="E418" s="7">
        <f t="shared" si="26"/>
        <v>1.68485162452841</v>
      </c>
      <c r="F418" s="6">
        <f t="shared" si="25"/>
        <v>471.36999999999352</v>
      </c>
      <c r="G418" s="6">
        <v>102048.817</v>
      </c>
    </row>
    <row r="419" spans="1:7" outlineLevel="1" x14ac:dyDescent="0.2">
      <c r="A419" s="17">
        <v>41183</v>
      </c>
      <c r="B419" s="5">
        <v>20912.805</v>
      </c>
      <c r="C419" s="5">
        <v>19856.311000000002</v>
      </c>
      <c r="D419" s="6">
        <f>B419-C419</f>
        <v>1056.4939999999988</v>
      </c>
      <c r="E419" s="7">
        <f>(D419/G418*100)</f>
        <v>1.0352829469840878</v>
      </c>
      <c r="F419" s="6">
        <f t="shared" si="25"/>
        <v>473.75200000000041</v>
      </c>
      <c r="G419" s="6">
        <v>103579.06299999999</v>
      </c>
    </row>
    <row r="420" spans="1:7" outlineLevel="1" x14ac:dyDescent="0.2">
      <c r="A420" s="17">
        <v>41214</v>
      </c>
      <c r="B420" s="5">
        <v>19351.017</v>
      </c>
      <c r="C420" s="5">
        <v>18550.767</v>
      </c>
      <c r="D420" s="6">
        <f>B420-C420</f>
        <v>800.25</v>
      </c>
      <c r="E420" s="7">
        <f>(D420/G419*100)</f>
        <v>0.77259822286671975</v>
      </c>
      <c r="F420" s="6">
        <f t="shared" si="25"/>
        <v>474.26900000000023</v>
      </c>
      <c r="G420" s="6">
        <v>104853.58199999999</v>
      </c>
    </row>
    <row r="421" spans="1:7" outlineLevel="1" x14ac:dyDescent="0.2">
      <c r="A421" s="17">
        <v>41244</v>
      </c>
      <c r="B421" s="5">
        <v>23583.724999999999</v>
      </c>
      <c r="C421" s="5">
        <v>21251.898000000001</v>
      </c>
      <c r="D421" s="6">
        <f>B421-C421</f>
        <v>2331.8269999999975</v>
      </c>
      <c r="E421" s="7">
        <f>(D421/G420*100)</f>
        <v>2.2238887365812623</v>
      </c>
      <c r="F421" s="6">
        <f t="shared" si="25"/>
        <v>475.36300000000483</v>
      </c>
      <c r="G421" s="6">
        <v>107660.772</v>
      </c>
    </row>
    <row r="422" spans="1:7" x14ac:dyDescent="0.2">
      <c r="A422" s="18" t="s">
        <v>103</v>
      </c>
      <c r="B422" s="14">
        <f>SUM(B410:B421)</f>
        <v>230991.932</v>
      </c>
      <c r="C422" s="14">
        <f>SUM(C410:C421)</f>
        <v>218511.94799999997</v>
      </c>
      <c r="D422" s="14">
        <f>SUM(D410:D421)</f>
        <v>12479.983999999997</v>
      </c>
      <c r="E422" s="15">
        <f>(D422/G409*100)</f>
        <v>13.953513853721503</v>
      </c>
      <c r="F422" s="14">
        <f>SUM(F410:F421)</f>
        <v>5741.0660000000062</v>
      </c>
      <c r="G422" s="16">
        <f>INDEX($G$410:$G$421,COUNTA($G$410:$G$421))</f>
        <v>107660.772</v>
      </c>
    </row>
    <row r="423" spans="1:7" outlineLevel="1" x14ac:dyDescent="0.2">
      <c r="A423" s="17">
        <v>41275</v>
      </c>
      <c r="B423" s="5">
        <v>22865.95</v>
      </c>
      <c r="C423" s="5">
        <v>21549.579000000002</v>
      </c>
      <c r="D423" s="6">
        <f t="shared" ref="D423:D429" si="27">B423-C423</f>
        <v>1316.3709999999992</v>
      </c>
      <c r="E423" s="7">
        <f>(D423/G421*100)</f>
        <v>1.2227025457331844</v>
      </c>
      <c r="F423" s="6">
        <f t="shared" ref="F423:F429" si="28">(G423-G422-D423)</f>
        <v>488.06700000001001</v>
      </c>
      <c r="G423" s="6">
        <v>109465.21</v>
      </c>
    </row>
    <row r="424" spans="1:7" outlineLevel="1" x14ac:dyDescent="0.2">
      <c r="A424" s="17">
        <v>41306</v>
      </c>
      <c r="B424" s="5">
        <v>18299.221000000001</v>
      </c>
      <c r="C424" s="5">
        <v>17729.735000000001</v>
      </c>
      <c r="D424" s="6">
        <f t="shared" si="27"/>
        <v>569.48600000000079</v>
      </c>
      <c r="E424" s="7">
        <f t="shared" ref="E424:E429" si="29">(D424/G423*100)</f>
        <v>0.52024382906678823</v>
      </c>
      <c r="F424" s="6">
        <f t="shared" si="28"/>
        <v>491.79899999998815</v>
      </c>
      <c r="G424" s="6">
        <v>110526.495</v>
      </c>
    </row>
    <row r="425" spans="1:7" outlineLevel="1" x14ac:dyDescent="0.2">
      <c r="A425" s="17">
        <v>41334</v>
      </c>
      <c r="B425" s="5">
        <v>20632.935000000001</v>
      </c>
      <c r="C425" s="5">
        <v>19196.034</v>
      </c>
      <c r="D425" s="6">
        <f t="shared" si="27"/>
        <v>1436.9010000000017</v>
      </c>
      <c r="E425" s="7">
        <f t="shared" si="29"/>
        <v>1.3000511777741632</v>
      </c>
      <c r="F425" s="6">
        <f t="shared" si="28"/>
        <v>498.48300000000381</v>
      </c>
      <c r="G425" s="6">
        <v>112461.879</v>
      </c>
    </row>
    <row r="426" spans="1:7" outlineLevel="1" x14ac:dyDescent="0.2">
      <c r="A426" s="17">
        <v>41365</v>
      </c>
      <c r="B426" s="5">
        <v>22753.055</v>
      </c>
      <c r="C426" s="5">
        <v>21928.268</v>
      </c>
      <c r="D426" s="6">
        <f t="shared" si="27"/>
        <v>824.78700000000026</v>
      </c>
      <c r="E426" s="7">
        <f t="shared" si="29"/>
        <v>0.7333925124975017</v>
      </c>
      <c r="F426" s="6">
        <f t="shared" si="28"/>
        <v>503.93199999999706</v>
      </c>
      <c r="G426" s="6">
        <v>113790.598</v>
      </c>
    </row>
    <row r="427" spans="1:7" outlineLevel="1" x14ac:dyDescent="0.2">
      <c r="A427" s="17">
        <v>41395</v>
      </c>
      <c r="B427" s="5">
        <v>24161.491000000002</v>
      </c>
      <c r="C427" s="5">
        <v>22741.697</v>
      </c>
      <c r="D427" s="6">
        <f t="shared" si="27"/>
        <v>1419.7940000000017</v>
      </c>
      <c r="E427" s="7">
        <f t="shared" si="29"/>
        <v>1.2477252294605234</v>
      </c>
      <c r="F427" s="6">
        <f t="shared" si="28"/>
        <v>508.43999999999505</v>
      </c>
      <c r="G427" s="6">
        <v>115718.83199999999</v>
      </c>
    </row>
    <row r="428" spans="1:7" outlineLevel="1" x14ac:dyDescent="0.2">
      <c r="A428" s="17">
        <v>41426</v>
      </c>
      <c r="B428" s="5">
        <v>24546.946</v>
      </c>
      <c r="C428" s="5">
        <v>21807.127</v>
      </c>
      <c r="D428" s="6">
        <f t="shared" si="27"/>
        <v>2739.8189999999995</v>
      </c>
      <c r="E428" s="7">
        <f t="shared" si="29"/>
        <v>2.3676517924066149</v>
      </c>
      <c r="F428" s="6">
        <f t="shared" si="28"/>
        <v>520.30300000000352</v>
      </c>
      <c r="G428" s="6">
        <v>118978.954</v>
      </c>
    </row>
    <row r="429" spans="1:7" outlineLevel="1" x14ac:dyDescent="0.2">
      <c r="A429" s="17">
        <v>41456</v>
      </c>
      <c r="B429" s="5">
        <v>25294.603999999999</v>
      </c>
      <c r="C429" s="5">
        <v>23849.858</v>
      </c>
      <c r="D429" s="6">
        <f t="shared" si="27"/>
        <v>1444.7459999999992</v>
      </c>
      <c r="E429" s="7">
        <f t="shared" si="29"/>
        <v>1.2142870242412782</v>
      </c>
      <c r="F429" s="6">
        <f t="shared" si="28"/>
        <v>550.33699999999953</v>
      </c>
      <c r="G429" s="6">
        <v>120974.037</v>
      </c>
    </row>
    <row r="430" spans="1:7" outlineLevel="1" x14ac:dyDescent="0.2">
      <c r="A430" s="17">
        <v>41487</v>
      </c>
      <c r="B430" s="5">
        <v>23813.722000000002</v>
      </c>
      <c r="C430" s="5">
        <v>23109.006000000001</v>
      </c>
      <c r="D430" s="6">
        <f>B430-C430</f>
        <v>704.71600000000035</v>
      </c>
      <c r="E430" s="7">
        <f>(D430/G429*100)</f>
        <v>0.5825349120158736</v>
      </c>
      <c r="F430" s="6">
        <f>(G430-G429-D430)</f>
        <v>581</v>
      </c>
      <c r="G430" s="6">
        <v>122259.753</v>
      </c>
    </row>
    <row r="431" spans="1:7" outlineLevel="1" x14ac:dyDescent="0.2">
      <c r="A431" s="17">
        <v>41518</v>
      </c>
      <c r="B431" s="5">
        <v>22803.698</v>
      </c>
      <c r="C431" s="5">
        <v>21217.177</v>
      </c>
      <c r="D431" s="6">
        <f>B431-C431</f>
        <v>1586.5210000000006</v>
      </c>
      <c r="E431" s="7">
        <f>(D431/G430*100)</f>
        <v>1.2976641626292185</v>
      </c>
      <c r="F431" s="6">
        <f>(G431-G430-D431)</f>
        <v>601.94700000000739</v>
      </c>
      <c r="G431" s="6">
        <v>124448.22100000001</v>
      </c>
    </row>
    <row r="432" spans="1:7" outlineLevel="1" x14ac:dyDescent="0.2">
      <c r="A432" s="17">
        <v>41548</v>
      </c>
      <c r="B432" s="5">
        <v>23753.330999999998</v>
      </c>
      <c r="C432" s="5">
        <v>22977.239000000001</v>
      </c>
      <c r="D432" s="6">
        <f>B432-C432</f>
        <v>776.09199999999691</v>
      </c>
      <c r="E432" s="7">
        <f>(D432/G431*100)</f>
        <v>0.6236264317510789</v>
      </c>
      <c r="F432" s="6">
        <f>(G432-G431-D432)</f>
        <v>630.82199999999284</v>
      </c>
      <c r="G432" s="6">
        <v>125855.13499999999</v>
      </c>
    </row>
    <row r="433" spans="1:7" outlineLevel="1" x14ac:dyDescent="0.2">
      <c r="A433" s="17">
        <v>41579</v>
      </c>
      <c r="B433" s="5">
        <v>23024.808000000001</v>
      </c>
      <c r="C433" s="5">
        <v>22027.429</v>
      </c>
      <c r="D433" s="6">
        <f>B433-C433</f>
        <v>997.37900000000081</v>
      </c>
      <c r="E433" s="7">
        <f>(D433/G432*100)</f>
        <v>0.79248176882095511</v>
      </c>
      <c r="F433" s="6">
        <f>(G433-G432-D433)</f>
        <v>683.28700000001118</v>
      </c>
      <c r="G433" s="6">
        <v>127535.80100000001</v>
      </c>
    </row>
    <row r="434" spans="1:7" outlineLevel="1" x14ac:dyDescent="0.2">
      <c r="A434" s="17">
        <v>41609</v>
      </c>
      <c r="B434" s="5">
        <v>30446.296999999999</v>
      </c>
      <c r="C434" s="5">
        <v>27496.065999999999</v>
      </c>
      <c r="D434" s="6">
        <f>B434-C434</f>
        <v>2950.2309999999998</v>
      </c>
      <c r="E434" s="7">
        <f>(D434/G433*100)</f>
        <v>2.3132571222099432</v>
      </c>
      <c r="F434" s="6">
        <f>(G434-G433-D434)</f>
        <v>668.38399999999092</v>
      </c>
      <c r="G434" s="6">
        <v>131154.416</v>
      </c>
    </row>
    <row r="435" spans="1:7" x14ac:dyDescent="0.2">
      <c r="A435" s="18" t="s">
        <v>107</v>
      </c>
      <c r="B435" s="14">
        <f>SUM(B423:B434)</f>
        <v>282396.05800000002</v>
      </c>
      <c r="C435" s="14">
        <f>SUM(C423:C434)</f>
        <v>265629.21500000003</v>
      </c>
      <c r="D435" s="14">
        <f>SUM(D423:D434)</f>
        <v>16766.843000000001</v>
      </c>
      <c r="E435" s="15">
        <f>(D435/G422*100)</f>
        <v>15.573771847001062</v>
      </c>
      <c r="F435" s="14">
        <f>SUM(F423:F434)</f>
        <v>6726.8009999999995</v>
      </c>
      <c r="G435" s="16">
        <f>INDEX($G$423:$G$434,COUNTA($G$423:$G$434))</f>
        <v>131154.416</v>
      </c>
    </row>
    <row r="436" spans="1:7" outlineLevel="1" x14ac:dyDescent="0.2">
      <c r="A436" s="17">
        <v>41640</v>
      </c>
      <c r="B436" s="5">
        <v>25449.557000000001</v>
      </c>
      <c r="C436" s="5">
        <v>24416.484</v>
      </c>
      <c r="D436" s="6">
        <f t="shared" ref="D436:D441" si="30">B436-C436</f>
        <v>1033.0730000000003</v>
      </c>
      <c r="E436" s="7">
        <f>(D436/G434*100)</f>
        <v>0.78767687090307381</v>
      </c>
      <c r="F436" s="6">
        <f t="shared" ref="F436:F441" si="31">(G436-G435-D436)</f>
        <v>685.14300000001458</v>
      </c>
      <c r="G436" s="6">
        <v>132872.63200000001</v>
      </c>
    </row>
    <row r="437" spans="1:7" outlineLevel="1" x14ac:dyDescent="0.2">
      <c r="A437" s="17">
        <v>41671</v>
      </c>
      <c r="B437" s="5">
        <v>22823.679</v>
      </c>
      <c r="C437" s="5">
        <v>22888.738000000001</v>
      </c>
      <c r="D437" s="6">
        <f t="shared" si="30"/>
        <v>-65.059000000001106</v>
      </c>
      <c r="E437" s="7">
        <f t="shared" ref="E437:E442" si="32">(D437/G436*100)</f>
        <v>-4.8963431385931386E-2</v>
      </c>
      <c r="F437" s="6">
        <f t="shared" si="31"/>
        <v>766.68400000000111</v>
      </c>
      <c r="G437" s="6">
        <v>133574.25700000001</v>
      </c>
    </row>
    <row r="438" spans="1:7" outlineLevel="1" x14ac:dyDescent="0.2">
      <c r="A438" s="17">
        <v>41699</v>
      </c>
      <c r="B438" s="5">
        <v>22772.937000000002</v>
      </c>
      <c r="C438" s="5">
        <v>22691.819</v>
      </c>
      <c r="D438" s="6">
        <f t="shared" si="30"/>
        <v>81.118000000002212</v>
      </c>
      <c r="E438" s="7">
        <f t="shared" si="32"/>
        <v>6.0728767519928784E-2</v>
      </c>
      <c r="F438" s="6">
        <f t="shared" si="31"/>
        <v>665.16599999998289</v>
      </c>
      <c r="G438" s="6">
        <v>134320.541</v>
      </c>
    </row>
    <row r="439" spans="1:7" outlineLevel="1" x14ac:dyDescent="0.2">
      <c r="A439" s="17">
        <v>41730</v>
      </c>
      <c r="B439" s="5">
        <v>23724.655999999999</v>
      </c>
      <c r="C439" s="5">
        <v>24262.267</v>
      </c>
      <c r="D439" s="6">
        <f t="shared" si="30"/>
        <v>-537.61100000000079</v>
      </c>
      <c r="E439" s="7">
        <f t="shared" si="32"/>
        <v>-0.40024481438025239</v>
      </c>
      <c r="F439" s="6">
        <f t="shared" si="31"/>
        <v>737.87799999999334</v>
      </c>
      <c r="G439" s="6">
        <v>134520.80799999999</v>
      </c>
    </row>
    <row r="440" spans="1:7" outlineLevel="1" x14ac:dyDescent="0.2">
      <c r="A440" s="17">
        <v>41760</v>
      </c>
      <c r="B440" s="5">
        <v>25605.455999999998</v>
      </c>
      <c r="C440" s="5">
        <v>25512.936000000002</v>
      </c>
      <c r="D440" s="6">
        <f t="shared" si="30"/>
        <v>92.519999999996799</v>
      </c>
      <c r="E440" s="7">
        <f t="shared" si="32"/>
        <v>6.8777463780916939E-2</v>
      </c>
      <c r="F440" s="6">
        <f t="shared" si="31"/>
        <v>675.98800000000483</v>
      </c>
      <c r="G440" s="6">
        <v>135289.31599999999</v>
      </c>
    </row>
    <row r="441" spans="1:7" outlineLevel="1" x14ac:dyDescent="0.2">
      <c r="A441" s="17">
        <v>41791</v>
      </c>
      <c r="B441" s="5">
        <v>24882.427</v>
      </c>
      <c r="C441" s="5">
        <v>24198.313999999998</v>
      </c>
      <c r="D441" s="6">
        <f t="shared" si="30"/>
        <v>684.11300000000119</v>
      </c>
      <c r="E441" s="7">
        <f t="shared" si="32"/>
        <v>0.50566668546095783</v>
      </c>
      <c r="F441" s="6">
        <f t="shared" si="31"/>
        <v>756.0580000000009</v>
      </c>
      <c r="G441" s="6">
        <v>136729.48699999999</v>
      </c>
    </row>
    <row r="442" spans="1:7" outlineLevel="1" x14ac:dyDescent="0.2">
      <c r="A442" s="17">
        <v>41821</v>
      </c>
      <c r="B442" s="5">
        <v>28120.809000000001</v>
      </c>
      <c r="C442" s="5">
        <v>26959.921999999999</v>
      </c>
      <c r="D442" s="6">
        <f t="shared" ref="D442:D447" si="33">B442-C442</f>
        <v>1160.8870000000024</v>
      </c>
      <c r="E442" s="7">
        <f t="shared" si="32"/>
        <v>0.84903924198882019</v>
      </c>
      <c r="F442" s="6">
        <f t="shared" ref="F442:F447" si="34">(G442-G441-D442)</f>
        <v>736.54700000000594</v>
      </c>
      <c r="G442" s="6">
        <v>138626.921</v>
      </c>
    </row>
    <row r="443" spans="1:7" outlineLevel="1" x14ac:dyDescent="0.2">
      <c r="A443" s="17">
        <v>41852</v>
      </c>
      <c r="B443" s="5">
        <v>25774.106</v>
      </c>
      <c r="C443" s="5">
        <v>26201.319</v>
      </c>
      <c r="D443" s="6">
        <f t="shared" si="33"/>
        <v>-427.21299999999974</v>
      </c>
      <c r="E443" s="7">
        <f>(D443/G442*100)</f>
        <v>-0.3081746293708707</v>
      </c>
      <c r="F443" s="6">
        <f t="shared" si="34"/>
        <v>794.03900000000067</v>
      </c>
      <c r="G443" s="6">
        <v>138993.747</v>
      </c>
    </row>
    <row r="444" spans="1:7" outlineLevel="1" x14ac:dyDescent="0.2">
      <c r="A444" s="17">
        <v>41883</v>
      </c>
      <c r="B444" s="5">
        <v>27219.737000000001</v>
      </c>
      <c r="C444" s="5">
        <v>27544.22</v>
      </c>
      <c r="D444" s="6">
        <f t="shared" si="33"/>
        <v>-324.48300000000017</v>
      </c>
      <c r="E444" s="7">
        <f>(D444/G443*100)</f>
        <v>-0.23345150915314211</v>
      </c>
      <c r="F444" s="6">
        <f t="shared" si="34"/>
        <v>790.62199999999575</v>
      </c>
      <c r="G444" s="6">
        <v>139459.886</v>
      </c>
    </row>
    <row r="445" spans="1:7" outlineLevel="1" x14ac:dyDescent="0.2">
      <c r="A445" s="17">
        <v>41913</v>
      </c>
      <c r="B445" s="5">
        <v>26737.182000000001</v>
      </c>
      <c r="C445" s="5">
        <v>27738.742999999999</v>
      </c>
      <c r="D445" s="6">
        <f t="shared" si="33"/>
        <v>-1001.5609999999979</v>
      </c>
      <c r="E445" s="7">
        <f>(D445/G444*100)</f>
        <v>-0.71817138872463859</v>
      </c>
      <c r="F445" s="6">
        <f t="shared" si="34"/>
        <v>772.72699999999531</v>
      </c>
      <c r="G445" s="6">
        <v>139231.052</v>
      </c>
    </row>
    <row r="446" spans="1:7" outlineLevel="1" x14ac:dyDescent="0.2">
      <c r="A446" s="17">
        <v>41944</v>
      </c>
      <c r="B446" s="5">
        <v>25498.377</v>
      </c>
      <c r="C446" s="5">
        <v>26571.802</v>
      </c>
      <c r="D446" s="6">
        <f t="shared" si="33"/>
        <v>-1073.4249999999993</v>
      </c>
      <c r="E446" s="7">
        <f>(D446/G445*100)</f>
        <v>-0.77096666625775356</v>
      </c>
      <c r="F446" s="6">
        <f t="shared" si="34"/>
        <v>797.92100000001301</v>
      </c>
      <c r="G446" s="6">
        <v>138955.54800000001</v>
      </c>
    </row>
    <row r="447" spans="1:7" outlineLevel="1" x14ac:dyDescent="0.2">
      <c r="A447" s="17">
        <v>41974</v>
      </c>
      <c r="B447" s="5">
        <v>33428.347000000002</v>
      </c>
      <c r="C447" s="5">
        <v>32775.283000000003</v>
      </c>
      <c r="D447" s="6">
        <f t="shared" si="33"/>
        <v>653.06399999999849</v>
      </c>
      <c r="E447" s="7">
        <f>(D447/G446*100)</f>
        <v>0.46998051491977733</v>
      </c>
      <c r="F447" s="6">
        <f t="shared" si="34"/>
        <v>774.99699999998847</v>
      </c>
      <c r="G447" s="6">
        <v>140383.609</v>
      </c>
    </row>
    <row r="448" spans="1:7" x14ac:dyDescent="0.2">
      <c r="A448" s="18" t="s">
        <v>120</v>
      </c>
      <c r="B448" s="14">
        <f>SUM(B436:B447)</f>
        <v>312037.27</v>
      </c>
      <c r="C448" s="14">
        <f>SUM(C436:C447)</f>
        <v>311761.84699999995</v>
      </c>
      <c r="D448" s="14">
        <f>SUM(D436:D447)</f>
        <v>275.4230000000025</v>
      </c>
      <c r="E448" s="15">
        <f>(D448/G435*100)</f>
        <v>0.20999902893090733</v>
      </c>
      <c r="F448" s="14">
        <f>SUM(F436:F447)</f>
        <v>8953.7699999999968</v>
      </c>
      <c r="G448" s="16">
        <f>INDEX($G$436:$G$447,COUNTA($G$436:$G$447))</f>
        <v>140383.609</v>
      </c>
    </row>
    <row r="449" spans="1:13" x14ac:dyDescent="0.2">
      <c r="A449" s="17">
        <v>42005</v>
      </c>
      <c r="B449" s="6">
        <v>26177.624</v>
      </c>
      <c r="C449" s="6">
        <v>27252.487000000001</v>
      </c>
      <c r="D449" s="106">
        <f t="shared" ref="D449:D455" si="35">B449-C449</f>
        <v>-1074.8630000000012</v>
      </c>
      <c r="E449" s="108">
        <f>IF(G448="","",(D449/G448)*100)</f>
        <v>-0.76566132446416968</v>
      </c>
      <c r="F449" s="107">
        <f>IF(G449="",0,(G449-G448-D449))</f>
        <v>765.88299999999072</v>
      </c>
      <c r="G449" s="6">
        <v>140074.62899999999</v>
      </c>
      <c r="H449" s="17"/>
    </row>
    <row r="450" spans="1:13" x14ac:dyDescent="0.2">
      <c r="A450" s="17">
        <v>42036</v>
      </c>
      <c r="B450" s="6">
        <v>23006.432000000001</v>
      </c>
      <c r="C450" s="6">
        <v>24398.741999999998</v>
      </c>
      <c r="D450" s="106">
        <f t="shared" si="35"/>
        <v>-1392.3099999999977</v>
      </c>
      <c r="E450" s="108">
        <f>IF(G449="",0,(D450/G449)*100)</f>
        <v>-0.99397728906353044</v>
      </c>
      <c r="F450" s="107">
        <f t="shared" ref="F450:F460" si="36">IF(G450="",0,(G450-G449-D450))</f>
        <v>789.0910000000149</v>
      </c>
      <c r="G450" s="6">
        <v>139471.41</v>
      </c>
      <c r="H450" s="17"/>
    </row>
    <row r="451" spans="1:13" x14ac:dyDescent="0.2">
      <c r="A451" s="17">
        <v>42064</v>
      </c>
      <c r="B451" s="6">
        <v>27371.924999999999</v>
      </c>
      <c r="C451" s="6">
        <v>29608.954000000002</v>
      </c>
      <c r="D451" s="106">
        <f t="shared" si="35"/>
        <v>-2237.0290000000023</v>
      </c>
      <c r="E451" s="108">
        <f t="shared" ref="E451:E460" si="37">IF(G450="",0,(D451/G450)*100)</f>
        <v>-1.6039337381044634</v>
      </c>
      <c r="F451" s="107">
        <f t="shared" si="36"/>
        <v>754.6160000000018</v>
      </c>
      <c r="G451" s="6">
        <v>137988.997</v>
      </c>
      <c r="H451" s="17"/>
    </row>
    <row r="452" spans="1:13" x14ac:dyDescent="0.2">
      <c r="A452" s="17">
        <v>42095</v>
      </c>
      <c r="B452" s="6">
        <v>26366.235000000001</v>
      </c>
      <c r="C452" s="6">
        <v>26990.932000000001</v>
      </c>
      <c r="D452" s="106">
        <f t="shared" si="35"/>
        <v>-624.69700000000012</v>
      </c>
      <c r="E452" s="108">
        <f t="shared" si="37"/>
        <v>-0.45271508133362265</v>
      </c>
      <c r="F452" s="107">
        <f t="shared" si="36"/>
        <v>828.68899999999849</v>
      </c>
      <c r="G452" s="6">
        <v>138192.989</v>
      </c>
      <c r="H452" s="17"/>
    </row>
    <row r="453" spans="1:13" x14ac:dyDescent="0.2">
      <c r="A453" s="17">
        <v>42125</v>
      </c>
      <c r="B453" s="6">
        <v>28882.483</v>
      </c>
      <c r="C453" s="6">
        <v>26794.396000000001</v>
      </c>
      <c r="D453" s="106">
        <f t="shared" si="35"/>
        <v>2088.0869999999995</v>
      </c>
      <c r="E453" s="108">
        <f t="shared" si="37"/>
        <v>1.5109934412085113</v>
      </c>
      <c r="F453" s="107">
        <f t="shared" si="36"/>
        <v>787.83799999998882</v>
      </c>
      <c r="G453" s="6">
        <v>141068.91399999999</v>
      </c>
      <c r="H453" s="17"/>
    </row>
    <row r="454" spans="1:13" x14ac:dyDescent="0.2">
      <c r="A454" s="17">
        <v>42156</v>
      </c>
      <c r="B454" s="6">
        <v>30006.9</v>
      </c>
      <c r="C454" s="6">
        <v>29152.546999999999</v>
      </c>
      <c r="D454" s="106">
        <f t="shared" si="35"/>
        <v>854.35300000000279</v>
      </c>
      <c r="E454" s="108">
        <f t="shared" si="37"/>
        <v>0.60562811166179598</v>
      </c>
      <c r="F454" s="107">
        <f t="shared" si="36"/>
        <v>881.35800000000745</v>
      </c>
      <c r="G454" s="6">
        <v>142804.625</v>
      </c>
      <c r="H454" s="17"/>
    </row>
    <row r="455" spans="1:13" x14ac:dyDescent="0.2">
      <c r="A455" s="17">
        <v>42186</v>
      </c>
      <c r="B455" s="6">
        <v>29915.241000000002</v>
      </c>
      <c r="C455" s="6">
        <v>29996.577000000001</v>
      </c>
      <c r="D455" s="106">
        <f t="shared" si="35"/>
        <v>-81.335999999999331</v>
      </c>
      <c r="E455" s="108">
        <f t="shared" si="37"/>
        <v>-5.6956138500415747E-2</v>
      </c>
      <c r="F455" s="107">
        <f t="shared" si="36"/>
        <v>913.13299999999072</v>
      </c>
      <c r="G455" s="6">
        <v>143636.42199999999</v>
      </c>
      <c r="H455" s="17"/>
      <c r="L455"/>
      <c r="M455" s="8"/>
    </row>
    <row r="456" spans="1:13" x14ac:dyDescent="0.2">
      <c r="A456" s="17">
        <v>42217</v>
      </c>
      <c r="B456" s="6">
        <v>28193.863000000001</v>
      </c>
      <c r="C456" s="6">
        <v>28463.992999999999</v>
      </c>
      <c r="D456" s="106">
        <f>B456-C456</f>
        <v>-270.12999999999738</v>
      </c>
      <c r="E456" s="108">
        <f t="shared" si="37"/>
        <v>-0.18806511345708501</v>
      </c>
      <c r="F456" s="107">
        <f t="shared" si="36"/>
        <v>969.81300000001647</v>
      </c>
      <c r="G456" s="6">
        <v>144336.10500000001</v>
      </c>
      <c r="H456" s="17"/>
      <c r="L456"/>
      <c r="M456" s="8"/>
    </row>
    <row r="457" spans="1:13" x14ac:dyDescent="0.2">
      <c r="A457" s="17">
        <v>42248</v>
      </c>
      <c r="B457" s="6">
        <v>29631.74</v>
      </c>
      <c r="C457" s="6">
        <v>29548.356</v>
      </c>
      <c r="D457" s="106">
        <f>B457-C457</f>
        <v>83.384000000001834</v>
      </c>
      <c r="E457" s="108">
        <f t="shared" si="37"/>
        <v>5.7770715095853409E-2</v>
      </c>
      <c r="F457" s="107">
        <f t="shared" si="36"/>
        <v>943.42599999999584</v>
      </c>
      <c r="G457" s="6">
        <v>145362.91500000001</v>
      </c>
      <c r="H457" s="17"/>
      <c r="L457"/>
      <c r="M457" s="8"/>
    </row>
    <row r="458" spans="1:13" x14ac:dyDescent="0.2">
      <c r="A458" s="17">
        <v>42278</v>
      </c>
      <c r="B458" s="6">
        <v>26586.19</v>
      </c>
      <c r="C458" s="6">
        <v>27008.392</v>
      </c>
      <c r="D458" s="106">
        <f>B458-C458</f>
        <v>-422.20200000000114</v>
      </c>
      <c r="E458" s="108">
        <f t="shared" si="37"/>
        <v>-0.29044684471276672</v>
      </c>
      <c r="F458" s="107">
        <f t="shared" si="36"/>
        <v>913.10499999999229</v>
      </c>
      <c r="G458" s="6">
        <v>145853.818</v>
      </c>
      <c r="H458" s="17"/>
      <c r="L458"/>
      <c r="M458" s="8"/>
    </row>
    <row r="459" spans="1:13" x14ac:dyDescent="0.2">
      <c r="A459" s="17">
        <v>42309</v>
      </c>
      <c r="B459" s="6">
        <v>29639.579000000002</v>
      </c>
      <c r="C459" s="6">
        <v>29980.748</v>
      </c>
      <c r="D459" s="106">
        <f>B459-C459</f>
        <v>-341.16899999999805</v>
      </c>
      <c r="E459" s="108">
        <f t="shared" si="37"/>
        <v>-0.23391160044915521</v>
      </c>
      <c r="F459" s="107">
        <f t="shared" si="36"/>
        <v>919.27599999998711</v>
      </c>
      <c r="G459" s="6">
        <v>146431.92499999999</v>
      </c>
      <c r="H459" s="17"/>
      <c r="L459"/>
      <c r="M459" s="8"/>
    </row>
    <row r="460" spans="1:13" x14ac:dyDescent="0.2">
      <c r="A460" s="17">
        <v>42339</v>
      </c>
      <c r="B460" s="6">
        <v>35237.523999999998</v>
      </c>
      <c r="C460" s="6">
        <v>35238.116000000002</v>
      </c>
      <c r="D460" s="106">
        <f>B460-C460</f>
        <v>-0.59200000000419095</v>
      </c>
      <c r="E460" s="108">
        <f t="shared" si="37"/>
        <v>-4.0428342385322803E-4</v>
      </c>
      <c r="F460" s="107">
        <f t="shared" si="36"/>
        <v>935.39400000002934</v>
      </c>
      <c r="G460" s="6">
        <v>147366.72700000001</v>
      </c>
      <c r="H460" s="17"/>
      <c r="L460"/>
      <c r="M460" s="8"/>
    </row>
    <row r="461" spans="1:13" x14ac:dyDescent="0.2">
      <c r="A461" s="18" t="s">
        <v>128</v>
      </c>
      <c r="B461" s="117">
        <f>SUM(B449:B460)</f>
        <v>341015.73599999998</v>
      </c>
      <c r="C461" s="117">
        <f>SUM(C449:C460)</f>
        <v>344434.24</v>
      </c>
      <c r="D461" s="117">
        <f>SUM(D449:D460)</f>
        <v>-3418.5039999999972</v>
      </c>
      <c r="E461" s="109">
        <f>(D461/G448*100)</f>
        <v>-2.4351161965069563</v>
      </c>
      <c r="F461" s="117">
        <f>SUM(F449:F460)</f>
        <v>10401.622000000014</v>
      </c>
      <c r="G461" s="118">
        <f>INDEX($G$449:$G$460,COUNTA($G$449:$G$460))</f>
        <v>147366.72700000001</v>
      </c>
      <c r="L461"/>
    </row>
    <row r="462" spans="1:13" x14ac:dyDescent="0.2">
      <c r="A462" s="17">
        <v>42370</v>
      </c>
      <c r="B462" s="6">
        <v>25513.321</v>
      </c>
      <c r="C462" s="6">
        <v>28023.085999999999</v>
      </c>
      <c r="D462" s="106">
        <f t="shared" ref="D462:D468" si="38">B462-C462</f>
        <v>-2509.7649999999994</v>
      </c>
      <c r="E462" s="108">
        <f>IF(G461="","",(D462/G461)*100)</f>
        <v>-1.7030743988770267</v>
      </c>
      <c r="F462" s="107">
        <f>IF(G462="",0,(G462-G461-D462))</f>
        <v>921.00699999999779</v>
      </c>
      <c r="G462" s="6">
        <v>145777.96900000001</v>
      </c>
      <c r="H462" s="17"/>
    </row>
    <row r="463" spans="1:13" x14ac:dyDescent="0.2">
      <c r="A463" s="17">
        <v>42401</v>
      </c>
      <c r="B463" s="6">
        <v>27209.096000000001</v>
      </c>
      <c r="C463" s="6">
        <v>27113.418000000001</v>
      </c>
      <c r="D463" s="106">
        <f t="shared" si="38"/>
        <v>95.677999999999884</v>
      </c>
      <c r="E463" s="108">
        <f>IF(G462="",0,(D463/G462)*100)</f>
        <v>6.5632688297365349E-2</v>
      </c>
      <c r="F463" s="107">
        <f t="shared" ref="F463:F473" si="39">IF(G463="",0,(G463-G462-D463))</f>
        <v>920.12199999998847</v>
      </c>
      <c r="G463" s="6">
        <v>146793.769</v>
      </c>
      <c r="H463" s="17"/>
    </row>
    <row r="464" spans="1:13" x14ac:dyDescent="0.2">
      <c r="A464" s="17">
        <v>42430</v>
      </c>
      <c r="B464" s="6">
        <v>30694.773000000001</v>
      </c>
      <c r="C464" s="6">
        <v>30890.011999999999</v>
      </c>
      <c r="D464" s="106">
        <f t="shared" si="38"/>
        <v>-195.23899999999776</v>
      </c>
      <c r="E464" s="108">
        <f t="shared" ref="E464:E473" si="40">IF(G463="",0,(D464/G463)*100)</f>
        <v>-0.13300223935254213</v>
      </c>
      <c r="F464" s="107">
        <f t="shared" si="39"/>
        <v>885.01099999999497</v>
      </c>
      <c r="G464" s="6">
        <v>147483.541</v>
      </c>
      <c r="H464" s="17"/>
    </row>
    <row r="465" spans="1:13" x14ac:dyDescent="0.2">
      <c r="A465" s="17">
        <v>42461</v>
      </c>
      <c r="B465" s="6">
        <v>29075.004000000001</v>
      </c>
      <c r="C465" s="6">
        <v>31016.651000000002</v>
      </c>
      <c r="D465" s="106">
        <f t="shared" si="38"/>
        <v>-1941.6470000000008</v>
      </c>
      <c r="E465" s="108">
        <f t="shared" si="40"/>
        <v>-1.316517752987773</v>
      </c>
      <c r="F465" s="107">
        <f t="shared" si="39"/>
        <v>940.43500000000131</v>
      </c>
      <c r="G465" s="6">
        <v>146482.329</v>
      </c>
      <c r="H465" s="17"/>
    </row>
    <row r="466" spans="1:13" x14ac:dyDescent="0.2">
      <c r="A466" s="17">
        <v>42491</v>
      </c>
      <c r="B466" s="6">
        <v>29676.026000000002</v>
      </c>
      <c r="C466" s="6">
        <v>32089.755999999994</v>
      </c>
      <c r="D466" s="106">
        <f t="shared" si="38"/>
        <v>-2413.7299999999923</v>
      </c>
      <c r="E466" s="108">
        <f t="shared" si="40"/>
        <v>-1.6477960286936675</v>
      </c>
      <c r="F466" s="107">
        <f t="shared" si="39"/>
        <v>903.20200000000114</v>
      </c>
      <c r="G466" s="6">
        <v>144971.80100000001</v>
      </c>
      <c r="H466" s="17"/>
    </row>
    <row r="467" spans="1:13" x14ac:dyDescent="0.2">
      <c r="A467" s="17">
        <v>42522</v>
      </c>
      <c r="B467" s="6">
        <v>30331.587</v>
      </c>
      <c r="C467" s="6">
        <v>31260.718000000001</v>
      </c>
      <c r="D467" s="106">
        <f t="shared" si="38"/>
        <v>-929.13100000000122</v>
      </c>
      <c r="E467" s="108">
        <f t="shared" si="40"/>
        <v>-0.64090464048246265</v>
      </c>
      <c r="F467" s="107">
        <f t="shared" si="39"/>
        <v>924.98799999999028</v>
      </c>
      <c r="G467" s="6">
        <v>144967.658</v>
      </c>
      <c r="H467" s="17"/>
    </row>
    <row r="468" spans="1:13" x14ac:dyDescent="0.2">
      <c r="A468" s="17">
        <v>42552</v>
      </c>
      <c r="B468" s="6">
        <v>29055.555</v>
      </c>
      <c r="C468" s="6">
        <v>29259.56</v>
      </c>
      <c r="D468" s="106">
        <f t="shared" si="38"/>
        <v>-204.00500000000102</v>
      </c>
      <c r="E468" s="108">
        <f t="shared" si="40"/>
        <v>-0.1407244918035449</v>
      </c>
      <c r="F468" s="107">
        <f t="shared" si="39"/>
        <v>955.25400000001173</v>
      </c>
      <c r="G468" s="6">
        <v>145718.90700000001</v>
      </c>
      <c r="H468" s="17"/>
      <c r="L468"/>
      <c r="M468" s="8"/>
    </row>
    <row r="469" spans="1:13" x14ac:dyDescent="0.2">
      <c r="A469" s="17">
        <v>42583</v>
      </c>
      <c r="B469" s="6">
        <v>30464.874</v>
      </c>
      <c r="C469" s="6">
        <v>31414.521000000001</v>
      </c>
      <c r="D469" s="106">
        <f>B469-C469</f>
        <v>-949.64700000000084</v>
      </c>
      <c r="E469" s="108">
        <f t="shared" si="40"/>
        <v>-0.65169786100577931</v>
      </c>
      <c r="F469" s="107">
        <f t="shared" si="39"/>
        <v>976.49700000000666</v>
      </c>
      <c r="G469" s="6">
        <v>145745.75700000001</v>
      </c>
      <c r="H469" s="17"/>
      <c r="L469"/>
      <c r="M469" s="8"/>
    </row>
    <row r="470" spans="1:13" x14ac:dyDescent="0.2">
      <c r="A470" s="17">
        <v>42614</v>
      </c>
      <c r="B470" s="6">
        <v>25458.789000000001</v>
      </c>
      <c r="C470" s="6">
        <v>25896.838</v>
      </c>
      <c r="D470" s="106">
        <f>B470-C470</f>
        <v>-438.04899999999907</v>
      </c>
      <c r="E470" s="108">
        <f t="shared" si="40"/>
        <v>-0.30055694863213001</v>
      </c>
      <c r="F470" s="107">
        <f t="shared" si="39"/>
        <v>960.34500000000116</v>
      </c>
      <c r="G470" s="6">
        <v>146268.05300000001</v>
      </c>
      <c r="H470" s="17"/>
      <c r="L470"/>
      <c r="M470" s="8"/>
    </row>
    <row r="471" spans="1:13" x14ac:dyDescent="0.2">
      <c r="A471" s="17">
        <v>42644</v>
      </c>
      <c r="B471" s="6">
        <v>28117.018</v>
      </c>
      <c r="C471" s="6">
        <v>29058.896000000001</v>
      </c>
      <c r="D471" s="106">
        <f>B471-C471</f>
        <v>-941.87800000000061</v>
      </c>
      <c r="E471" s="108">
        <f t="shared" si="40"/>
        <v>-0.64393965782808404</v>
      </c>
      <c r="F471" s="107">
        <f t="shared" si="39"/>
        <v>926.05199999999968</v>
      </c>
      <c r="G471" s="6">
        <v>146252.22700000001</v>
      </c>
      <c r="H471" s="17"/>
      <c r="L471"/>
      <c r="M471" s="8"/>
    </row>
    <row r="472" spans="1:13" x14ac:dyDescent="0.2">
      <c r="A472" s="17">
        <v>42675</v>
      </c>
      <c r="B472" s="6">
        <v>29406.471000000001</v>
      </c>
      <c r="C472" s="6">
        <v>30125.620999999999</v>
      </c>
      <c r="D472" s="106">
        <f>B472-C472</f>
        <v>-719.14999999999782</v>
      </c>
      <c r="E472" s="108">
        <f t="shared" si="40"/>
        <v>-0.49171900814884534</v>
      </c>
      <c r="F472" s="107">
        <f t="shared" si="39"/>
        <v>917.34699999998338</v>
      </c>
      <c r="G472" s="6">
        <v>146450.424</v>
      </c>
      <c r="H472" s="17"/>
      <c r="L472"/>
      <c r="M472" s="8"/>
    </row>
    <row r="473" spans="1:13" x14ac:dyDescent="0.2">
      <c r="A473" s="17">
        <v>42705</v>
      </c>
      <c r="B473" s="6">
        <v>35547.548999999999</v>
      </c>
      <c r="C473" s="6">
        <v>33880.192999999999</v>
      </c>
      <c r="D473" s="106">
        <f>B473-C473</f>
        <v>1667.3559999999998</v>
      </c>
      <c r="E473" s="108">
        <f t="shared" si="40"/>
        <v>1.138512238107279</v>
      </c>
      <c r="F473" s="107">
        <f t="shared" si="39"/>
        <v>919.21400000000722</v>
      </c>
      <c r="G473" s="6">
        <v>149036.99400000001</v>
      </c>
      <c r="H473" s="17"/>
      <c r="L473"/>
      <c r="M473" s="8"/>
    </row>
    <row r="474" spans="1:13" x14ac:dyDescent="0.2">
      <c r="A474" s="18" t="s">
        <v>129</v>
      </c>
      <c r="B474" s="117">
        <f>SUM(B462:B473)</f>
        <v>350550.06300000002</v>
      </c>
      <c r="C474" s="117">
        <f>SUM(C462:C473)</f>
        <v>360029.27</v>
      </c>
      <c r="D474" s="117">
        <f>SUM(D462:D473)</f>
        <v>-9479.2069999999912</v>
      </c>
      <c r="E474" s="109">
        <f>(D474/G461*100)</f>
        <v>-6.4323929783688492</v>
      </c>
      <c r="F474" s="117">
        <f>SUM(F462:F473)</f>
        <v>11149.473999999984</v>
      </c>
      <c r="G474" s="118">
        <f>INDEX($G$462:$G$473,COUNTA($G$462:$G$473))</f>
        <v>149036.99400000001</v>
      </c>
      <c r="L474"/>
    </row>
    <row r="475" spans="1:13" x14ac:dyDescent="0.2">
      <c r="A475" s="17">
        <v>42736</v>
      </c>
      <c r="B475" s="6">
        <v>29145.441999999999</v>
      </c>
      <c r="C475" s="6">
        <v>31165.073</v>
      </c>
      <c r="D475" s="106">
        <f t="shared" ref="D475:D481" si="41">B475-C475</f>
        <v>-2019.6310000000012</v>
      </c>
      <c r="E475" s="108">
        <f>IF(G474="","",(D475/G474)*100)</f>
        <v>-1.3551205950919818</v>
      </c>
      <c r="F475" s="107">
        <f>IF(G475="",0,(G475-G474-D475))</f>
        <v>929.47999999998865</v>
      </c>
      <c r="G475" s="6">
        <v>147946.84299999999</v>
      </c>
      <c r="H475" s="17"/>
    </row>
    <row r="476" spans="1:13" x14ac:dyDescent="0.2">
      <c r="A476" s="17">
        <v>42767</v>
      </c>
      <c r="B476" s="6">
        <v>24646.780999999999</v>
      </c>
      <c r="C476" s="6">
        <v>25830.170999999998</v>
      </c>
      <c r="D476" s="106">
        <f t="shared" si="41"/>
        <v>-1183.3899999999994</v>
      </c>
      <c r="E476" s="108">
        <f>IF(G475="",0,(D476/G475)*100)</f>
        <v>-0.79987512812287553</v>
      </c>
      <c r="F476" s="107">
        <f t="shared" ref="F476:F486" si="42">IF(G476="",0,(G476-G475-D476))</f>
        <v>846.88199999999779</v>
      </c>
      <c r="G476" s="6">
        <v>147610.33499999999</v>
      </c>
      <c r="H476" s="17"/>
    </row>
    <row r="477" spans="1:13" x14ac:dyDescent="0.2">
      <c r="A477" s="17">
        <v>42795</v>
      </c>
      <c r="B477" s="6">
        <v>30009.631000000001</v>
      </c>
      <c r="C477" s="6">
        <v>31462.965</v>
      </c>
      <c r="D477" s="106">
        <f t="shared" si="41"/>
        <v>-1453.3339999999989</v>
      </c>
      <c r="E477" s="108">
        <f t="shared" ref="E477:E486" si="43">IF(G476="",0,(D477/G476)*100)</f>
        <v>-0.98457469119624919</v>
      </c>
      <c r="F477" s="107">
        <f t="shared" si="42"/>
        <v>843.19599999999264</v>
      </c>
      <c r="G477" s="6">
        <v>147000.19699999999</v>
      </c>
      <c r="H477" s="17"/>
    </row>
    <row r="478" spans="1:13" x14ac:dyDescent="0.2">
      <c r="A478" s="17">
        <v>42826</v>
      </c>
      <c r="B478" s="6">
        <v>25190.634999999998</v>
      </c>
      <c r="C478" s="6">
        <v>25970.300999999999</v>
      </c>
      <c r="D478" s="106">
        <f t="shared" si="41"/>
        <v>-779.66600000000108</v>
      </c>
      <c r="E478" s="108">
        <f t="shared" si="43"/>
        <v>-0.53038432322645201</v>
      </c>
      <c r="F478" s="107">
        <f t="shared" si="42"/>
        <v>848.17700000002878</v>
      </c>
      <c r="G478" s="6">
        <v>147068.70800000001</v>
      </c>
      <c r="H478" s="17"/>
    </row>
    <row r="479" spans="1:13" x14ac:dyDescent="0.2">
      <c r="A479" s="17">
        <v>42856</v>
      </c>
      <c r="B479" s="6">
        <v>31838.968000000001</v>
      </c>
      <c r="C479" s="6">
        <v>31718.941999999999</v>
      </c>
      <c r="D479" s="106">
        <f t="shared" si="41"/>
        <v>120.02600000000166</v>
      </c>
      <c r="E479" s="108">
        <f t="shared" si="43"/>
        <v>8.1612194485316106E-2</v>
      </c>
      <c r="F479" s="107">
        <f t="shared" si="42"/>
        <v>737.25599999997576</v>
      </c>
      <c r="G479" s="6">
        <v>147925.99</v>
      </c>
      <c r="H479" s="17"/>
    </row>
    <row r="480" spans="1:13" x14ac:dyDescent="0.2">
      <c r="A480" s="17">
        <v>42887</v>
      </c>
      <c r="B480" s="6">
        <v>30627.172999999999</v>
      </c>
      <c r="C480" s="6">
        <v>29409.393</v>
      </c>
      <c r="D480" s="106">
        <f t="shared" si="41"/>
        <v>1217.7799999999988</v>
      </c>
      <c r="E480" s="108">
        <f t="shared" si="43"/>
        <v>0.82323599794735125</v>
      </c>
      <c r="F480" s="107">
        <f t="shared" si="42"/>
        <v>829.7160000000149</v>
      </c>
      <c r="G480" s="6">
        <v>149973.486</v>
      </c>
      <c r="H480" s="17"/>
    </row>
    <row r="481" spans="1:13" x14ac:dyDescent="0.2">
      <c r="A481" s="17">
        <v>42917</v>
      </c>
      <c r="B481" s="6">
        <v>30178.714</v>
      </c>
      <c r="C481" s="6">
        <v>28946.918000000001</v>
      </c>
      <c r="D481" s="106">
        <f t="shared" si="41"/>
        <v>1231.7959999999985</v>
      </c>
      <c r="E481" s="108">
        <f t="shared" si="43"/>
        <v>0.82134251383607793</v>
      </c>
      <c r="F481" s="107">
        <f t="shared" si="42"/>
        <v>787.21700000000783</v>
      </c>
      <c r="G481" s="6">
        <v>151992.49900000001</v>
      </c>
      <c r="H481" s="17"/>
      <c r="L481"/>
      <c r="M481" s="8"/>
    </row>
    <row r="482" spans="1:13" x14ac:dyDescent="0.2">
      <c r="A482" s="17">
        <v>42948</v>
      </c>
      <c r="B482" s="6">
        <v>31168.912</v>
      </c>
      <c r="C482" s="6">
        <v>30670.187000000002</v>
      </c>
      <c r="D482" s="106">
        <f>B482-C482</f>
        <v>498.72499999999854</v>
      </c>
      <c r="E482" s="108">
        <f t="shared" si="43"/>
        <v>0.32812474515600831</v>
      </c>
      <c r="F482" s="107">
        <f t="shared" si="42"/>
        <v>815.37099999999191</v>
      </c>
      <c r="G482" s="6">
        <v>153306.595</v>
      </c>
      <c r="H482" s="17"/>
      <c r="L482"/>
      <c r="M482" s="8"/>
    </row>
    <row r="483" spans="1:13" x14ac:dyDescent="0.2">
      <c r="A483" s="17">
        <v>42979</v>
      </c>
      <c r="B483" s="6">
        <v>29361.609</v>
      </c>
      <c r="C483" s="6">
        <v>28873.782999999999</v>
      </c>
      <c r="D483" s="106">
        <f>B483-C483</f>
        <v>487.82600000000093</v>
      </c>
      <c r="E483" s="108">
        <f t="shared" si="43"/>
        <v>0.31820287966085276</v>
      </c>
      <c r="F483" s="107">
        <f t="shared" si="42"/>
        <v>752.81299999999464</v>
      </c>
      <c r="G483" s="6">
        <v>154547.234</v>
      </c>
      <c r="H483" s="17"/>
      <c r="L483"/>
      <c r="M483" s="8"/>
    </row>
    <row r="484" spans="1:13" x14ac:dyDescent="0.2">
      <c r="A484" s="17">
        <v>43009</v>
      </c>
      <c r="B484" s="6">
        <v>29617.138999999999</v>
      </c>
      <c r="C484" s="6">
        <v>29956.093000000001</v>
      </c>
      <c r="D484" s="106">
        <f>B484-C484</f>
        <v>-338.95400000000154</v>
      </c>
      <c r="E484" s="108">
        <f t="shared" si="43"/>
        <v>-0.21932065118680905</v>
      </c>
      <c r="F484" s="107">
        <f t="shared" si="42"/>
        <v>720.58600000001388</v>
      </c>
      <c r="G484" s="6">
        <v>154928.86600000001</v>
      </c>
      <c r="H484" s="17"/>
      <c r="L484"/>
      <c r="M484" s="8"/>
    </row>
    <row r="485" spans="1:13" x14ac:dyDescent="0.2">
      <c r="A485" s="17">
        <v>43040</v>
      </c>
      <c r="B485" s="6">
        <v>29211.976999999999</v>
      </c>
      <c r="C485" s="6">
        <v>29055.823</v>
      </c>
      <c r="D485" s="106">
        <f>B485-C485</f>
        <v>156.15399999999863</v>
      </c>
      <c r="E485" s="108">
        <f t="shared" si="43"/>
        <v>0.10079077194045856</v>
      </c>
      <c r="F485" s="107">
        <f t="shared" si="42"/>
        <v>701.27699999998367</v>
      </c>
      <c r="G485" s="6">
        <v>155786.29699999999</v>
      </c>
      <c r="H485" s="17"/>
      <c r="L485"/>
      <c r="M485" s="8"/>
    </row>
    <row r="486" spans="1:13" x14ac:dyDescent="0.2">
      <c r="A486" s="17">
        <v>43070</v>
      </c>
      <c r="B486" s="6">
        <v>35553.777999999998</v>
      </c>
      <c r="C486" s="6">
        <v>31139.206999999999</v>
      </c>
      <c r="D486" s="106">
        <f>B486-C486</f>
        <v>4414.5709999999999</v>
      </c>
      <c r="E486" s="108">
        <f t="shared" si="43"/>
        <v>2.8337351134291358</v>
      </c>
      <c r="F486" s="107">
        <f t="shared" si="42"/>
        <v>660.90300000001662</v>
      </c>
      <c r="G486" s="6">
        <v>160861.77100000001</v>
      </c>
      <c r="H486" s="17"/>
      <c r="L486"/>
      <c r="M486" s="8"/>
    </row>
    <row r="487" spans="1:13" x14ac:dyDescent="0.2">
      <c r="A487" s="18" t="s">
        <v>131</v>
      </c>
      <c r="B487" s="117">
        <f>SUM(B475:B486)</f>
        <v>356550.75900000008</v>
      </c>
      <c r="C487" s="117">
        <f>SUM(C475:C486)</f>
        <v>354198.85600000003</v>
      </c>
      <c r="D487" s="117">
        <f>SUM(D475:D486)</f>
        <v>2351.9029999999948</v>
      </c>
      <c r="E487" s="109">
        <f>(D487/G474*100)</f>
        <v>1.5780665839247903</v>
      </c>
      <c r="F487" s="117">
        <f>SUM(F475:F486)</f>
        <v>9472.8740000000071</v>
      </c>
      <c r="G487" s="118">
        <f>INDEX($G$475:$G$486,COUNTA($G$475:$G$486))</f>
        <v>160861.77100000001</v>
      </c>
      <c r="L487"/>
    </row>
    <row r="488" spans="1:13" x14ac:dyDescent="0.2">
      <c r="A488" s="17">
        <v>43101</v>
      </c>
      <c r="B488" s="6">
        <v>35545.656000000003</v>
      </c>
      <c r="C488" s="6">
        <v>35772.034</v>
      </c>
      <c r="D488" s="106">
        <f t="shared" ref="D488:D489" si="44">B488-C488</f>
        <v>-226.37799999999697</v>
      </c>
      <c r="E488" s="108">
        <f>IF(G487="","",(D488/G487)*100)</f>
        <v>-0.14072827782058731</v>
      </c>
      <c r="F488" s="107">
        <f>IF(G488="",0,(G488-G487-D488))</f>
        <v>661.23199999998906</v>
      </c>
      <c r="G488" s="6">
        <v>161296.625</v>
      </c>
      <c r="H488" s="17"/>
    </row>
    <row r="489" spans="1:13" x14ac:dyDescent="0.2">
      <c r="A489" s="17">
        <v>43132</v>
      </c>
      <c r="B489" s="6">
        <v>25857.223000000002</v>
      </c>
      <c r="C489" s="6">
        <v>25979.121999999999</v>
      </c>
      <c r="D489" s="106">
        <f t="shared" si="44"/>
        <v>-121.89899999999761</v>
      </c>
      <c r="E489" s="108">
        <f>IF(G488="",0,(D489/G488)*100)</f>
        <v>-7.5574426929266261E-2</v>
      </c>
      <c r="F489" s="107">
        <f t="shared" ref="F489:F493" si="45">IF(G489="",0,(G489-G488-D489))</f>
        <v>646.01200000000972</v>
      </c>
      <c r="G489" s="6">
        <v>161820.73800000001</v>
      </c>
      <c r="H489" s="17"/>
    </row>
    <row r="490" spans="1:13" x14ac:dyDescent="0.2">
      <c r="A490" s="17">
        <v>43160</v>
      </c>
      <c r="B490" s="6">
        <v>30071.166000000001</v>
      </c>
      <c r="C490" s="6">
        <v>28945.794000000002</v>
      </c>
      <c r="D490" s="106">
        <f t="shared" ref="D490:D499" si="46">B490-C490</f>
        <v>1125.3719999999994</v>
      </c>
      <c r="E490" s="108">
        <f t="shared" ref="E490:E499" si="47">IF(G489="",0,(D490/G489)*100)</f>
        <v>0.69544362107655155</v>
      </c>
      <c r="F490" s="107">
        <f t="shared" si="45"/>
        <v>646.51999999999316</v>
      </c>
      <c r="G490" s="6">
        <v>163592.63</v>
      </c>
      <c r="H490" s="17"/>
    </row>
    <row r="491" spans="1:13" x14ac:dyDescent="0.2">
      <c r="A491" s="17">
        <v>43191</v>
      </c>
      <c r="B491" s="6">
        <v>32137.65</v>
      </c>
      <c r="C491" s="6">
        <v>30965.760999999999</v>
      </c>
      <c r="D491" s="106">
        <f t="shared" si="46"/>
        <v>1171.8890000000029</v>
      </c>
      <c r="E491" s="108">
        <f t="shared" si="47"/>
        <v>0.71634584027410209</v>
      </c>
      <c r="F491" s="107">
        <f t="shared" si="45"/>
        <v>637.08899999999994</v>
      </c>
      <c r="G491" s="6">
        <v>165401.60800000001</v>
      </c>
      <c r="H491" s="17"/>
    </row>
    <row r="492" spans="1:13" x14ac:dyDescent="0.2">
      <c r="A492" s="17">
        <v>43221</v>
      </c>
      <c r="B492" s="6">
        <v>31246.767</v>
      </c>
      <c r="C492" s="6">
        <v>30086.738000000001</v>
      </c>
      <c r="D492" s="106">
        <f t="shared" si="46"/>
        <v>1160.0289999999986</v>
      </c>
      <c r="E492" s="108">
        <f t="shared" si="47"/>
        <v>0.7013408237240345</v>
      </c>
      <c r="F492" s="107">
        <f t="shared" si="45"/>
        <v>628.81499999998414</v>
      </c>
      <c r="G492" s="6">
        <v>167190.45199999999</v>
      </c>
      <c r="H492" s="17"/>
    </row>
    <row r="493" spans="1:13" x14ac:dyDescent="0.2">
      <c r="A493" s="17">
        <v>43252</v>
      </c>
      <c r="B493" s="6">
        <v>31161.859</v>
      </c>
      <c r="C493" s="6">
        <v>29425.512999999999</v>
      </c>
      <c r="D493" s="106">
        <f t="shared" si="46"/>
        <v>1736.3460000000014</v>
      </c>
      <c r="E493" s="108">
        <f t="shared" si="47"/>
        <v>1.0385437560752582</v>
      </c>
      <c r="F493" s="107">
        <f t="shared" si="45"/>
        <v>633.68600000000515</v>
      </c>
      <c r="G493" s="6">
        <v>169560.484</v>
      </c>
      <c r="H493" s="17"/>
    </row>
    <row r="494" spans="1:13" x14ac:dyDescent="0.2">
      <c r="A494" s="17">
        <v>43282</v>
      </c>
      <c r="B494" s="6">
        <v>33096.796999999999</v>
      </c>
      <c r="C494" s="6">
        <v>31416.241999999998</v>
      </c>
      <c r="D494" s="106">
        <f t="shared" si="46"/>
        <v>1680.5550000000003</v>
      </c>
      <c r="E494" s="108">
        <f t="shared" si="47"/>
        <v>0.9911242055666698</v>
      </c>
      <c r="F494" s="107">
        <v>644.21600000000001</v>
      </c>
      <c r="G494" s="6">
        <v>171885.26800000001</v>
      </c>
      <c r="H494" s="17"/>
      <c r="L494"/>
      <c r="M494" s="8"/>
    </row>
    <row r="495" spans="1:13" x14ac:dyDescent="0.2">
      <c r="A495" s="17">
        <v>43313</v>
      </c>
      <c r="B495" s="6">
        <v>33655.106</v>
      </c>
      <c r="C495" s="6">
        <v>32197.441999999999</v>
      </c>
      <c r="D495" s="106">
        <f t="shared" si="46"/>
        <v>1457.6640000000007</v>
      </c>
      <c r="E495" s="108">
        <f t="shared" si="47"/>
        <v>0.84804475506301125</v>
      </c>
      <c r="F495" s="107">
        <v>649.50400000000002</v>
      </c>
      <c r="G495" s="6">
        <v>173992.44699999999</v>
      </c>
      <c r="H495" s="17"/>
      <c r="L495"/>
      <c r="M495" s="8"/>
    </row>
    <row r="496" spans="1:13" x14ac:dyDescent="0.2">
      <c r="A496" s="17">
        <v>43344</v>
      </c>
      <c r="B496" s="6">
        <v>30742.78</v>
      </c>
      <c r="C496" s="6">
        <v>28980.377</v>
      </c>
      <c r="D496" s="106">
        <f t="shared" si="46"/>
        <v>1762.4029999999984</v>
      </c>
      <c r="E496" s="108">
        <f t="shared" si="47"/>
        <v>1.0129192562019651</v>
      </c>
      <c r="F496" s="107">
        <v>656.11800000000005</v>
      </c>
      <c r="G496" s="6">
        <v>176410.97500000001</v>
      </c>
      <c r="H496" s="17"/>
      <c r="L496"/>
      <c r="M496" s="8"/>
    </row>
    <row r="497" spans="1:13" x14ac:dyDescent="0.2">
      <c r="A497" s="17">
        <v>43374</v>
      </c>
      <c r="B497" s="6">
        <v>33354.404000000002</v>
      </c>
      <c r="C497" s="6">
        <v>33752.633999999998</v>
      </c>
      <c r="D497" s="106">
        <f t="shared" si="46"/>
        <v>-398.22999999999593</v>
      </c>
      <c r="E497" s="108">
        <f t="shared" si="47"/>
        <v>-0.22573992349398664</v>
      </c>
      <c r="F497" s="107">
        <v>670.65200000000004</v>
      </c>
      <c r="G497" s="6">
        <v>176683.40599999999</v>
      </c>
      <c r="H497" s="17"/>
      <c r="L497"/>
      <c r="M497" s="8"/>
    </row>
    <row r="498" spans="1:13" x14ac:dyDescent="0.2">
      <c r="A498" s="17">
        <v>43405</v>
      </c>
      <c r="B498" s="6">
        <v>32303.544999999998</v>
      </c>
      <c r="C498" s="6">
        <v>33569.106</v>
      </c>
      <c r="D498" s="106">
        <f t="shared" si="46"/>
        <v>-1265.5610000000015</v>
      </c>
      <c r="E498" s="108">
        <f t="shared" si="47"/>
        <v>-0.71628741411063901</v>
      </c>
      <c r="F498" s="107">
        <v>665.79200000000003</v>
      </c>
      <c r="G498" s="6">
        <v>176083.64799999999</v>
      </c>
      <c r="H498" s="17"/>
      <c r="L498"/>
      <c r="M498" s="8"/>
    </row>
    <row r="499" spans="1:13" x14ac:dyDescent="0.2">
      <c r="A499" s="17">
        <v>43435</v>
      </c>
      <c r="B499" s="6">
        <v>37400.696000000004</v>
      </c>
      <c r="C499" s="6">
        <v>35013.593000000001</v>
      </c>
      <c r="D499" s="106">
        <f t="shared" si="46"/>
        <v>2387.1030000000028</v>
      </c>
      <c r="E499" s="108">
        <f t="shared" si="47"/>
        <v>1.3556642124997336</v>
      </c>
      <c r="F499" s="107">
        <v>664.17700000000002</v>
      </c>
      <c r="G499" s="6">
        <v>179134.93900000001</v>
      </c>
      <c r="H499" s="17"/>
      <c r="L499"/>
      <c r="M499" s="8"/>
    </row>
    <row r="500" spans="1:13" x14ac:dyDescent="0.2">
      <c r="A500" s="18" t="s">
        <v>134</v>
      </c>
      <c r="B500" s="117">
        <f>SUM(B488:B499)</f>
        <v>386573.64899999992</v>
      </c>
      <c r="C500" s="117">
        <f>SUM(C488:C499)</f>
        <v>376104.35600000003</v>
      </c>
      <c r="D500" s="117">
        <f>SUM(D488:D499)</f>
        <v>10469.293000000012</v>
      </c>
      <c r="E500" s="109">
        <f>(D500/G487*100)</f>
        <v>6.5082542203268492</v>
      </c>
      <c r="F500" s="117">
        <f>SUM(F488:F499)</f>
        <v>7803.8129999999819</v>
      </c>
      <c r="G500" s="118">
        <f>IFERROR(INDEX($G$488:$G$499,COUNTA($G$488:$G$499)),0)</f>
        <v>179134.93900000001</v>
      </c>
      <c r="L500"/>
    </row>
    <row r="501" spans="1:13" x14ac:dyDescent="0.2">
      <c r="A501" s="17">
        <v>43466</v>
      </c>
      <c r="B501" s="6">
        <v>31262.994999999999</v>
      </c>
      <c r="C501" s="6">
        <v>33089.358</v>
      </c>
      <c r="D501" s="106">
        <f t="shared" ref="D501:D502" si="48">B501-C501</f>
        <v>-1826.3630000000012</v>
      </c>
      <c r="E501" s="108">
        <f>IF(G500="","",(D501/G500)*100)</f>
        <v>-1.0195459412861949</v>
      </c>
      <c r="F501" s="107">
        <v>678.52800000000002</v>
      </c>
      <c r="G501" s="6">
        <v>177987.11499999999</v>
      </c>
      <c r="L501"/>
    </row>
    <row r="502" spans="1:13" x14ac:dyDescent="0.2">
      <c r="A502" s="17">
        <v>43497</v>
      </c>
      <c r="B502" s="6">
        <v>28633.285</v>
      </c>
      <c r="C502" s="6">
        <v>29820.077000000001</v>
      </c>
      <c r="D502" s="106">
        <f t="shared" si="48"/>
        <v>-1186.7920000000013</v>
      </c>
      <c r="E502" s="108">
        <f>IF(G501="",0,(D502/G501)*100)</f>
        <v>-0.6667853456695455</v>
      </c>
      <c r="F502" s="107">
        <v>668</v>
      </c>
      <c r="G502" s="6">
        <v>177468.80100000001</v>
      </c>
      <c r="L502"/>
    </row>
    <row r="503" spans="1:13" x14ac:dyDescent="0.2">
      <c r="A503" s="17">
        <v>43525</v>
      </c>
      <c r="B503" s="6">
        <v>29232.026999999998</v>
      </c>
      <c r="C503" s="6">
        <v>28946.597000000002</v>
      </c>
      <c r="D503" s="106">
        <f t="shared" ref="D503:D512" si="49">B503-C503</f>
        <v>285.42999999999665</v>
      </c>
      <c r="E503" s="108">
        <f t="shared" ref="E503:E512" si="50">IF(G502="",0,(D503/G502)*100)</f>
        <v>0.16083390341945042</v>
      </c>
      <c r="F503" s="107">
        <v>677.19799999999998</v>
      </c>
      <c r="G503" s="6">
        <v>178431.44</v>
      </c>
      <c r="L503"/>
    </row>
    <row r="504" spans="1:13" x14ac:dyDescent="0.2">
      <c r="A504" s="17">
        <v>43556</v>
      </c>
      <c r="B504" s="154">
        <v>32768.084000000003</v>
      </c>
      <c r="C504" s="154">
        <v>32820.317000000003</v>
      </c>
      <c r="D504" s="106">
        <f t="shared" si="49"/>
        <v>-52.233000000000175</v>
      </c>
      <c r="E504" s="108">
        <f t="shared" si="50"/>
        <v>-2.9273428494440316E-2</v>
      </c>
      <c r="F504" s="154">
        <v>672.35500000000002</v>
      </c>
      <c r="G504" s="154">
        <v>179051.57399999999</v>
      </c>
      <c r="L504"/>
    </row>
    <row r="505" spans="1:13" x14ac:dyDescent="0.2">
      <c r="A505" s="17">
        <v>43586</v>
      </c>
      <c r="B505" s="6">
        <v>33560.775999999998</v>
      </c>
      <c r="C505" s="6">
        <v>33815.618000000002</v>
      </c>
      <c r="D505" s="106">
        <f t="shared" si="49"/>
        <v>-254.84200000000419</v>
      </c>
      <c r="E505" s="108">
        <f t="shared" si="50"/>
        <v>-0.14232882420793697</v>
      </c>
      <c r="F505" s="107">
        <v>675.94200000000001</v>
      </c>
      <c r="G505" s="6">
        <v>179472.68700000001</v>
      </c>
      <c r="L505"/>
    </row>
    <row r="506" spans="1:13" x14ac:dyDescent="0.2">
      <c r="A506" s="17">
        <v>43617</v>
      </c>
      <c r="B506" s="6">
        <v>31691.257000000001</v>
      </c>
      <c r="C506" s="6">
        <v>31963.546999999999</v>
      </c>
      <c r="D506" s="106">
        <f t="shared" si="49"/>
        <v>-272.28999999999724</v>
      </c>
      <c r="E506" s="108">
        <f t="shared" si="50"/>
        <v>-0.1517166787612631</v>
      </c>
      <c r="F506" s="107">
        <v>673.81</v>
      </c>
      <c r="G506" s="6">
        <v>179874.21900000001</v>
      </c>
      <c r="L506"/>
    </row>
    <row r="507" spans="1:13" x14ac:dyDescent="0.2">
      <c r="A507" s="17">
        <v>43647</v>
      </c>
      <c r="B507" s="6">
        <v>35504.527000000002</v>
      </c>
      <c r="C507" s="6">
        <v>35273.701999999997</v>
      </c>
      <c r="D507" s="106">
        <f t="shared" si="49"/>
        <v>230.82500000000437</v>
      </c>
      <c r="E507" s="108">
        <f t="shared" si="50"/>
        <v>0.12832578302953151</v>
      </c>
      <c r="F507" s="107">
        <v>680.67200000000003</v>
      </c>
      <c r="G507" s="6">
        <v>180785.72399999999</v>
      </c>
      <c r="L507"/>
    </row>
    <row r="508" spans="1:13" x14ac:dyDescent="0.2">
      <c r="A508" s="17">
        <v>43678</v>
      </c>
      <c r="B508" s="6">
        <v>32864.877</v>
      </c>
      <c r="C508" s="6">
        <v>32578.399000000001</v>
      </c>
      <c r="D508" s="106">
        <f t="shared" si="49"/>
        <v>286.47799999999916</v>
      </c>
      <c r="E508" s="108">
        <f t="shared" si="50"/>
        <v>0.15846273348442003</v>
      </c>
      <c r="F508" s="107">
        <v>677.58900000000006</v>
      </c>
      <c r="G508" s="6">
        <v>181749.80300000001</v>
      </c>
      <c r="L508"/>
    </row>
    <row r="509" spans="1:13" x14ac:dyDescent="0.2">
      <c r="A509" s="17">
        <v>43709</v>
      </c>
      <c r="B509" s="6">
        <v>32705.344000000001</v>
      </c>
      <c r="C509" s="6">
        <v>32072.451000000001</v>
      </c>
      <c r="D509" s="106">
        <f t="shared" si="49"/>
        <v>632.89300000000003</v>
      </c>
      <c r="E509" s="108">
        <f t="shared" si="50"/>
        <v>0.34822211059012809</v>
      </c>
      <c r="F509" s="107">
        <v>643.01499999999999</v>
      </c>
      <c r="G509" s="6">
        <v>183025.72500000001</v>
      </c>
      <c r="L509"/>
    </row>
    <row r="510" spans="1:13" x14ac:dyDescent="0.2">
      <c r="A510" s="17">
        <v>43739</v>
      </c>
      <c r="B510" s="6">
        <v>33798.171000000002</v>
      </c>
      <c r="C510" s="6">
        <v>33694.819000000003</v>
      </c>
      <c r="D510" s="106">
        <f t="shared" si="49"/>
        <v>103.35199999999895</v>
      </c>
      <c r="E510" s="108">
        <f t="shared" si="50"/>
        <v>5.6468564733181056E-2</v>
      </c>
      <c r="F510" s="107">
        <v>638.15</v>
      </c>
      <c r="G510" s="6">
        <v>183767.236</v>
      </c>
      <c r="L510"/>
    </row>
    <row r="511" spans="1:13" x14ac:dyDescent="0.2">
      <c r="A511" s="17">
        <v>43770</v>
      </c>
      <c r="B511" s="6">
        <v>32460.909</v>
      </c>
      <c r="C511" s="6">
        <v>33083.71</v>
      </c>
      <c r="D511" s="106">
        <f t="shared" si="49"/>
        <v>-622.80099999999948</v>
      </c>
      <c r="E511" s="108">
        <f t="shared" si="50"/>
        <v>-0.33890752974050253</v>
      </c>
      <c r="F511" s="107">
        <v>607.39</v>
      </c>
      <c r="G511" s="6">
        <v>183751.83</v>
      </c>
      <c r="L511"/>
    </row>
    <row r="512" spans="1:13" x14ac:dyDescent="0.2">
      <c r="A512" s="17">
        <v>43800</v>
      </c>
      <c r="B512" s="6">
        <v>39664.696000000004</v>
      </c>
      <c r="C512" s="6">
        <v>36050.856</v>
      </c>
      <c r="D512" s="106">
        <f t="shared" si="49"/>
        <v>3613.8400000000038</v>
      </c>
      <c r="E512" s="108">
        <f t="shared" si="50"/>
        <v>1.9666960595712184</v>
      </c>
      <c r="F512" s="107">
        <v>567.42399999999998</v>
      </c>
      <c r="G512" s="6">
        <v>187933.103</v>
      </c>
      <c r="L512"/>
    </row>
    <row r="513" spans="1:21" x14ac:dyDescent="0.2">
      <c r="A513" s="18" t="s">
        <v>136</v>
      </c>
      <c r="B513" s="117">
        <f>SUM(B501:B512)</f>
        <v>394146.94799999997</v>
      </c>
      <c r="C513" s="117">
        <f>SUM(C501:C512)</f>
        <v>393209.451</v>
      </c>
      <c r="D513" s="117">
        <f>SUM(D501:D512)</f>
        <v>937.49699999999939</v>
      </c>
      <c r="E513" s="109">
        <f>(D513/G500*100)</f>
        <v>0.52334681622327139</v>
      </c>
      <c r="F513" s="117">
        <f>SUM(F501:F512)</f>
        <v>7860.0730000000003</v>
      </c>
      <c r="G513" s="118">
        <f>IFERROR(INDEX($G$501:$G$512,COUNTA($G$501:$G$512)),0)</f>
        <v>187933.103</v>
      </c>
      <c r="L513"/>
    </row>
    <row r="514" spans="1:21" x14ac:dyDescent="0.2">
      <c r="A514" s="17">
        <v>43831</v>
      </c>
      <c r="B514" s="6">
        <v>32172.448</v>
      </c>
      <c r="C514" s="6">
        <v>34693.447</v>
      </c>
      <c r="D514" s="106">
        <f t="shared" ref="D514:D525" si="51">B514-C514</f>
        <v>-2520.9989999999998</v>
      </c>
      <c r="E514" s="108">
        <f>IF(G513="","",(D514/G513)*100)</f>
        <v>-1.3414342442906397</v>
      </c>
      <c r="F514" s="107">
        <v>557.69000000000005</v>
      </c>
      <c r="G514" s="6">
        <v>185969.802</v>
      </c>
      <c r="L514"/>
    </row>
    <row r="515" spans="1:21" x14ac:dyDescent="0.2">
      <c r="A515" s="17">
        <v>43862</v>
      </c>
      <c r="B515" s="6">
        <v>28596.396000000001</v>
      </c>
      <c r="C515" s="6">
        <v>29897.55</v>
      </c>
      <c r="D515" s="106">
        <f t="shared" si="51"/>
        <v>-1301.1539999999986</v>
      </c>
      <c r="E515" s="108">
        <f>IF(G514="",0,(D515/G514)*100)</f>
        <v>-0.69965875427452384</v>
      </c>
      <c r="F515" s="107">
        <v>529.77800000000002</v>
      </c>
      <c r="G515" s="6">
        <v>185198.43599999999</v>
      </c>
      <c r="L515"/>
    </row>
    <row r="516" spans="1:21" x14ac:dyDescent="0.2">
      <c r="A516" s="17">
        <v>43891</v>
      </c>
      <c r="B516" s="6">
        <v>35110.588000000003</v>
      </c>
      <c r="C516" s="6">
        <v>31190.606</v>
      </c>
      <c r="D516" s="106">
        <f t="shared" si="51"/>
        <v>3919.9820000000036</v>
      </c>
      <c r="E516" s="108">
        <f t="shared" ref="E516:E525" si="52">IF(G515="",0,(D516/G515)*100)</f>
        <v>2.1166388251788497</v>
      </c>
      <c r="F516" s="107">
        <v>517.46299999999997</v>
      </c>
      <c r="G516" s="6">
        <v>189635.89199999999</v>
      </c>
      <c r="L516"/>
    </row>
    <row r="517" spans="1:21" x14ac:dyDescent="0.2">
      <c r="A517" s="17">
        <v>43922</v>
      </c>
      <c r="B517" s="154">
        <v>32575.808000000001</v>
      </c>
      <c r="C517" s="154">
        <v>26731.822</v>
      </c>
      <c r="D517" s="106">
        <f t="shared" si="51"/>
        <v>5843.9860000000008</v>
      </c>
      <c r="E517" s="108">
        <f t="shared" si="52"/>
        <v>3.0816877218580547</v>
      </c>
      <c r="F517" s="154">
        <v>506.62200000000001</v>
      </c>
      <c r="G517" s="154">
        <v>195986.50700000001</v>
      </c>
      <c r="L517"/>
    </row>
    <row r="518" spans="1:21" x14ac:dyDescent="0.2">
      <c r="A518" s="17">
        <v>43952</v>
      </c>
      <c r="B518" s="6">
        <v>34253.084999999999</v>
      </c>
      <c r="C518" s="6">
        <v>27353.069</v>
      </c>
      <c r="D518" s="106">
        <f t="shared" si="51"/>
        <v>6900.0159999999996</v>
      </c>
      <c r="E518" s="108">
        <f t="shared" si="52"/>
        <v>3.5206586951417012</v>
      </c>
      <c r="F518" s="107">
        <v>489.21600000000001</v>
      </c>
      <c r="G518" s="6">
        <v>203375.74799999999</v>
      </c>
      <c r="L518"/>
    </row>
    <row r="519" spans="1:21" x14ac:dyDescent="0.2">
      <c r="A519" s="17">
        <v>43983</v>
      </c>
      <c r="B519" s="6">
        <v>41296.016000000003</v>
      </c>
      <c r="C519" s="6">
        <v>35197.343999999997</v>
      </c>
      <c r="D519" s="106">
        <f t="shared" si="51"/>
        <v>6098.6720000000059</v>
      </c>
      <c r="E519" s="108">
        <f t="shared" si="52"/>
        <v>2.9987213618017061</v>
      </c>
      <c r="F519" s="107">
        <v>457.10399999999998</v>
      </c>
      <c r="G519" s="6">
        <v>209931.533</v>
      </c>
      <c r="L519"/>
    </row>
    <row r="520" spans="1:21" x14ac:dyDescent="0.2">
      <c r="A520" s="17">
        <v>44013</v>
      </c>
      <c r="B520" s="6">
        <v>43250.425999999999</v>
      </c>
      <c r="C520" s="6">
        <v>37469.491000000002</v>
      </c>
      <c r="D520" s="106">
        <f t="shared" si="51"/>
        <v>5780.9349999999977</v>
      </c>
      <c r="E520" s="108">
        <f t="shared" si="52"/>
        <v>2.7537239962897799</v>
      </c>
      <c r="F520" s="107">
        <v>421.101</v>
      </c>
      <c r="G520" s="6">
        <v>216133.57800000001</v>
      </c>
      <c r="L520"/>
    </row>
    <row r="521" spans="1:21" x14ac:dyDescent="0.2">
      <c r="A521" s="17">
        <v>44044</v>
      </c>
      <c r="B521" s="6">
        <v>40322.241999999998</v>
      </c>
      <c r="C521" s="6">
        <v>36867.262000000002</v>
      </c>
      <c r="D521" s="106">
        <f t="shared" si="51"/>
        <v>3454.9799999999959</v>
      </c>
      <c r="E521" s="108">
        <f t="shared" si="52"/>
        <v>1.598539214485218</v>
      </c>
      <c r="F521" s="107">
        <v>375.00299999999999</v>
      </c>
      <c r="G521" s="6">
        <v>219963.571</v>
      </c>
      <c r="L521"/>
    </row>
    <row r="522" spans="1:21" x14ac:dyDescent="0.2">
      <c r="A522" s="17">
        <v>44075</v>
      </c>
      <c r="B522" s="6"/>
      <c r="C522" s="6"/>
      <c r="D522" s="106">
        <f t="shared" si="51"/>
        <v>0</v>
      </c>
      <c r="E522" s="108">
        <f t="shared" si="52"/>
        <v>0</v>
      </c>
      <c r="F522" s="107"/>
      <c r="G522" s="6"/>
      <c r="L522"/>
    </row>
    <row r="523" spans="1:21" x14ac:dyDescent="0.2">
      <c r="A523" s="17">
        <v>44105</v>
      </c>
      <c r="B523" s="6"/>
      <c r="C523" s="6"/>
      <c r="D523" s="106">
        <f t="shared" si="51"/>
        <v>0</v>
      </c>
      <c r="E523" s="108">
        <f t="shared" si="52"/>
        <v>0</v>
      </c>
      <c r="F523" s="107"/>
      <c r="G523" s="6"/>
      <c r="L523"/>
    </row>
    <row r="524" spans="1:21" x14ac:dyDescent="0.2">
      <c r="A524" s="17">
        <v>44136</v>
      </c>
      <c r="B524" s="6"/>
      <c r="C524" s="6"/>
      <c r="D524" s="106">
        <f t="shared" si="51"/>
        <v>0</v>
      </c>
      <c r="E524" s="108">
        <f t="shared" si="52"/>
        <v>0</v>
      </c>
      <c r="F524" s="107"/>
      <c r="G524" s="6"/>
      <c r="L524"/>
    </row>
    <row r="525" spans="1:21" x14ac:dyDescent="0.2">
      <c r="A525" s="17">
        <v>44166</v>
      </c>
      <c r="B525" s="6"/>
      <c r="C525" s="6"/>
      <c r="D525" s="106">
        <f t="shared" si="51"/>
        <v>0</v>
      </c>
      <c r="E525" s="108">
        <f t="shared" si="52"/>
        <v>0</v>
      </c>
      <c r="F525" s="107"/>
      <c r="G525" s="6"/>
      <c r="L525"/>
    </row>
    <row r="526" spans="1:21" x14ac:dyDescent="0.2">
      <c r="A526" s="18" t="s">
        <v>138</v>
      </c>
      <c r="B526" s="117">
        <f>SUM(B514:B525)</f>
        <v>287577.00900000002</v>
      </c>
      <c r="C526" s="117">
        <f>SUM(C514:C525)</f>
        <v>259400.59100000001</v>
      </c>
      <c r="D526" s="117">
        <f>SUM(D514:D525)</f>
        <v>28176.418000000005</v>
      </c>
      <c r="E526" s="109">
        <f>(D526/G513*100)</f>
        <v>14.992791344481768</v>
      </c>
      <c r="F526" s="117">
        <f>SUM(F514:F525)</f>
        <v>3853.9769999999999</v>
      </c>
      <c r="G526" s="118">
        <f>IFERROR(INDEX($G$514:$G$525,COUNTA($G$514:$G$525)),0)</f>
        <v>219963.571</v>
      </c>
      <c r="L526"/>
    </row>
    <row r="527" spans="1:21" s="4" customFormat="1" x14ac:dyDescent="0.2">
      <c r="A527" s="56" t="s">
        <v>104</v>
      </c>
      <c r="B527" s="21"/>
      <c r="C527" s="21"/>
      <c r="D527" s="19"/>
      <c r="E527" s="22"/>
      <c r="F527" s="23"/>
      <c r="G527" s="2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s="4" customFormat="1" ht="5.25" customHeight="1" x14ac:dyDescent="0.2">
      <c r="A528" s="20"/>
      <c r="B528" s="21"/>
      <c r="C528" s="21"/>
      <c r="D528" s="19"/>
      <c r="E528" s="22"/>
      <c r="F528" s="23"/>
      <c r="G528" s="23"/>
    </row>
    <row r="529" spans="1:7" s="4" customFormat="1" x14ac:dyDescent="0.2">
      <c r="A529" s="70" t="s">
        <v>122</v>
      </c>
      <c r="B529" s="63"/>
      <c r="C529" s="63"/>
      <c r="D529" s="64"/>
      <c r="E529" s="65" t="s">
        <v>125</v>
      </c>
      <c r="F529" s="66"/>
      <c r="G529" s="66"/>
    </row>
    <row r="530" spans="1:7" s="4" customFormat="1" x14ac:dyDescent="0.2">
      <c r="A530" s="71" t="s">
        <v>123</v>
      </c>
      <c r="B530" s="62"/>
      <c r="C530" s="62"/>
      <c r="D530" s="62"/>
      <c r="E530" s="67" t="s">
        <v>126</v>
      </c>
      <c r="F530" s="62"/>
      <c r="G530" s="62"/>
    </row>
    <row r="531" spans="1:7" s="4" customFormat="1" x14ac:dyDescent="0.2">
      <c r="A531" s="72" t="s">
        <v>124</v>
      </c>
      <c r="B531" s="68"/>
      <c r="C531" s="68"/>
      <c r="D531" s="68"/>
      <c r="E531" s="69" t="s">
        <v>79</v>
      </c>
      <c r="F531" s="68"/>
      <c r="G531" s="68"/>
    </row>
    <row r="532" spans="1:7" s="4" customFormat="1" ht="4.5" customHeight="1" x14ac:dyDescent="0.2"/>
    <row r="533" spans="1:7" s="4" customFormat="1" x14ac:dyDescent="0.2"/>
  </sheetData>
  <mergeCells count="1">
    <mergeCell ref="D5:E5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2"/>
  <dimension ref="A1:P78"/>
  <sheetViews>
    <sheetView showGridLines="0" zoomScale="80" zoomScaleNormal="80" workbookViewId="0">
      <pane xSplit="1" ySplit="8" topLeftCell="B25" activePane="bottomRight" state="frozen"/>
      <selection activeCell="B491" sqref="B491:C491"/>
      <selection pane="topRight" activeCell="B491" sqref="B491:C491"/>
      <selection pane="bottomLeft" activeCell="B491" sqref="B491:C491"/>
      <selection pane="bottomRight" activeCell="N35" sqref="N35"/>
    </sheetView>
  </sheetViews>
  <sheetFormatPr defaultRowHeight="15" x14ac:dyDescent="0.25"/>
  <cols>
    <col min="1" max="1" width="11" style="24" customWidth="1"/>
    <col min="2" max="13" width="12.28515625" style="24" customWidth="1"/>
    <col min="14" max="16384" width="9.140625" style="24"/>
  </cols>
  <sheetData>
    <row r="1" spans="1:13" ht="15" customHeight="1" x14ac:dyDescent="0.25"/>
    <row r="2" spans="1:13" ht="15" customHeight="1" x14ac:dyDescent="0.25">
      <c r="B2" s="58" t="s">
        <v>101</v>
      </c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</row>
    <row r="3" spans="1:13" ht="15" customHeight="1" x14ac:dyDescent="0.25">
      <c r="A3" s="55"/>
      <c r="B3" s="58" t="s">
        <v>80</v>
      </c>
      <c r="C3" s="59"/>
      <c r="D3" s="59"/>
      <c r="E3" s="59"/>
      <c r="F3" s="59"/>
      <c r="G3" s="59"/>
      <c r="H3" s="55"/>
      <c r="I3" s="55"/>
      <c r="J3" s="55"/>
      <c r="K3" s="55"/>
      <c r="L3" s="55"/>
      <c r="M3" s="55"/>
    </row>
    <row r="4" spans="1:13" ht="15" customHeight="1" x14ac:dyDescent="0.25">
      <c r="A4" s="55"/>
      <c r="B4" s="58" t="s">
        <v>78</v>
      </c>
      <c r="C4" s="60"/>
      <c r="D4" s="60"/>
      <c r="E4" s="60"/>
      <c r="F4" s="60"/>
      <c r="G4" s="60"/>
      <c r="H4" s="55"/>
      <c r="I4" s="55"/>
      <c r="J4" s="55"/>
      <c r="K4" s="55"/>
      <c r="L4" s="55"/>
      <c r="M4" s="55"/>
    </row>
    <row r="5" spans="1:13" ht="15" customHeight="1" x14ac:dyDescent="0.25">
      <c r="A5" s="55"/>
      <c r="C5" s="60"/>
      <c r="D5" s="60"/>
      <c r="E5" s="60"/>
      <c r="F5" s="60"/>
      <c r="G5" s="60"/>
      <c r="H5" s="55"/>
      <c r="I5" s="55"/>
      <c r="J5" s="55"/>
      <c r="K5" s="55"/>
      <c r="L5" s="55"/>
      <c r="M5" s="55"/>
    </row>
    <row r="6" spans="1:13" x14ac:dyDescent="0.25">
      <c r="B6" s="196" t="s">
        <v>13</v>
      </c>
      <c r="C6" s="197"/>
      <c r="D6" s="197"/>
      <c r="E6" s="198"/>
      <c r="F6" s="197" t="s">
        <v>14</v>
      </c>
      <c r="G6" s="197"/>
      <c r="H6" s="197"/>
      <c r="I6" s="198"/>
      <c r="J6" s="197" t="s">
        <v>69</v>
      </c>
      <c r="K6" s="197"/>
      <c r="L6" s="197"/>
      <c r="M6" s="197"/>
    </row>
    <row r="7" spans="1:13" x14ac:dyDescent="0.25">
      <c r="A7" s="199" t="s">
        <v>9</v>
      </c>
      <c r="B7" s="193" t="s">
        <v>4</v>
      </c>
      <c r="C7" s="192"/>
      <c r="D7" s="194" t="s">
        <v>10</v>
      </c>
      <c r="E7" s="200"/>
      <c r="F7" s="201" t="s">
        <v>4</v>
      </c>
      <c r="G7" s="202"/>
      <c r="H7" s="203" t="s">
        <v>10</v>
      </c>
      <c r="I7" s="204"/>
      <c r="J7" s="193" t="s">
        <v>4</v>
      </c>
      <c r="K7" s="192"/>
      <c r="L7" s="194" t="s">
        <v>10</v>
      </c>
      <c r="M7" s="195"/>
    </row>
    <row r="8" spans="1:13" x14ac:dyDescent="0.25">
      <c r="A8" s="199"/>
      <c r="B8" s="25" t="s">
        <v>11</v>
      </c>
      <c r="C8" s="26" t="s">
        <v>12</v>
      </c>
      <c r="D8" s="26" t="s">
        <v>11</v>
      </c>
      <c r="E8" s="27" t="s">
        <v>12</v>
      </c>
      <c r="F8" s="25" t="s">
        <v>11</v>
      </c>
      <c r="G8" s="26" t="s">
        <v>12</v>
      </c>
      <c r="H8" s="26" t="s">
        <v>11</v>
      </c>
      <c r="I8" s="27" t="s">
        <v>12</v>
      </c>
      <c r="J8" s="25" t="s">
        <v>11</v>
      </c>
      <c r="K8" s="26" t="s">
        <v>12</v>
      </c>
      <c r="L8" s="26" t="s">
        <v>11</v>
      </c>
      <c r="M8" s="28" t="s">
        <v>12</v>
      </c>
    </row>
    <row r="9" spans="1:13" s="34" customFormat="1" x14ac:dyDescent="0.25">
      <c r="A9" s="29" t="s">
        <v>54</v>
      </c>
      <c r="B9" s="30">
        <v>36883.877</v>
      </c>
      <c r="C9" s="31"/>
      <c r="D9" s="32"/>
      <c r="E9" s="33"/>
      <c r="F9" s="30">
        <v>8059.5314699999999</v>
      </c>
      <c r="G9" s="31"/>
      <c r="H9" s="32"/>
      <c r="I9" s="33"/>
      <c r="J9" s="30">
        <f t="shared" ref="J9:J25" si="0">SUM(B9,F9)</f>
        <v>44943.408470000002</v>
      </c>
      <c r="K9" s="31"/>
      <c r="L9" s="32"/>
    </row>
    <row r="10" spans="1:13" s="34" customFormat="1" x14ac:dyDescent="0.25">
      <c r="A10" s="35" t="s">
        <v>55</v>
      </c>
      <c r="B10" s="36">
        <v>51362.411999999997</v>
      </c>
      <c r="C10" s="101">
        <f>B10/B9-1</f>
        <v>0.39254373936883025</v>
      </c>
      <c r="D10" s="38">
        <v>162</v>
      </c>
      <c r="E10" s="39">
        <f>D10/B9</f>
        <v>4.3921630039054733E-3</v>
      </c>
      <c r="F10" s="36">
        <v>12273.59376</v>
      </c>
      <c r="G10" s="101">
        <f>F10/F9-1</f>
        <v>0.52286690680295833</v>
      </c>
      <c r="H10" s="38"/>
      <c r="I10" s="103"/>
      <c r="J10" s="36">
        <f t="shared" si="0"/>
        <v>63636.00576</v>
      </c>
      <c r="K10" s="37">
        <f>J10/J9-1</f>
        <v>0.41591410011720442</v>
      </c>
      <c r="L10" s="38"/>
      <c r="M10" s="40"/>
    </row>
    <row r="11" spans="1:13" s="34" customFormat="1" x14ac:dyDescent="0.25">
      <c r="A11" s="29" t="s">
        <v>56</v>
      </c>
      <c r="B11" s="30">
        <v>59418.697</v>
      </c>
      <c r="C11" s="102">
        <f>B11/B10-1</f>
        <v>0.15685176545057899</v>
      </c>
      <c r="D11" s="42">
        <v>2346</v>
      </c>
      <c r="E11" s="43">
        <f>D11/B10</f>
        <v>4.5675425055972843E-2</v>
      </c>
      <c r="F11" s="30">
        <v>12605.133300000001</v>
      </c>
      <c r="G11" s="102">
        <f>F11/F10-1</f>
        <v>2.7012425739598722E-2</v>
      </c>
      <c r="H11" s="42"/>
      <c r="I11" s="104"/>
      <c r="J11" s="30">
        <f t="shared" si="0"/>
        <v>72023.830300000001</v>
      </c>
      <c r="K11" s="41">
        <f>J11/J10-1</f>
        <v>0.13180941260886581</v>
      </c>
      <c r="L11" s="42"/>
      <c r="M11" s="44"/>
    </row>
    <row r="12" spans="1:13" s="34" customFormat="1" x14ac:dyDescent="0.25">
      <c r="A12" s="35" t="s">
        <v>57</v>
      </c>
      <c r="B12" s="36">
        <v>80250.376999999993</v>
      </c>
      <c r="C12" s="101">
        <f>B12/B11-1</f>
        <v>0.35059132986372954</v>
      </c>
      <c r="D12" s="38">
        <v>11079</v>
      </c>
      <c r="E12" s="39">
        <f>D12/B11</f>
        <v>0.18645646167569108</v>
      </c>
      <c r="F12" s="36">
        <v>16813.562000000002</v>
      </c>
      <c r="G12" s="101">
        <f>F12/F11-1</f>
        <v>0.33386625907399181</v>
      </c>
      <c r="H12" s="38">
        <v>2113.8519999999999</v>
      </c>
      <c r="I12" s="103"/>
      <c r="J12" s="36">
        <f t="shared" si="0"/>
        <v>97063.938999999998</v>
      </c>
      <c r="K12" s="37">
        <f>J12/J11-1</f>
        <v>0.34766421885229826</v>
      </c>
      <c r="L12" s="49">
        <f t="shared" ref="L12:L25" si="1">SUM(D12,H12)</f>
        <v>13192.851999999999</v>
      </c>
      <c r="M12" s="40">
        <f>L12/J11</f>
        <v>0.18317342947532739</v>
      </c>
    </row>
    <row r="13" spans="1:13" s="34" customFormat="1" x14ac:dyDescent="0.25">
      <c r="A13" s="29" t="s">
        <v>58</v>
      </c>
      <c r="B13" s="30">
        <v>88538.349000000002</v>
      </c>
      <c r="C13" s="102">
        <f>B13/B12-1</f>
        <v>0.10327642448333929</v>
      </c>
      <c r="D13" s="45">
        <v>-2301.5</v>
      </c>
      <c r="E13" s="43">
        <f>D13/B12</f>
        <v>-2.8678992997129473E-2</v>
      </c>
      <c r="F13" s="30">
        <v>18883.240000000002</v>
      </c>
      <c r="G13" s="102">
        <f t="shared" ref="G13:G21" si="2">F13/F12-1</f>
        <v>0.12309574853918526</v>
      </c>
      <c r="H13" s="45">
        <v>-361.22800000000001</v>
      </c>
      <c r="I13" s="104">
        <f t="shared" ref="I13:I21" si="3">H13/F12</f>
        <v>-2.1484323191004975E-2</v>
      </c>
      <c r="J13" s="30">
        <f t="shared" si="0"/>
        <v>107421.58900000001</v>
      </c>
      <c r="K13" s="41">
        <f>J13/J12-1</f>
        <v>0.1067095577071111</v>
      </c>
      <c r="L13" s="45">
        <f t="shared" si="1"/>
        <v>-2662.7280000000001</v>
      </c>
      <c r="M13" s="44">
        <f>L13/J12</f>
        <v>-2.7432721435300501E-2</v>
      </c>
    </row>
    <row r="14" spans="1:13" s="34" customFormat="1" x14ac:dyDescent="0.25">
      <c r="A14" s="35" t="s">
        <v>59</v>
      </c>
      <c r="B14" s="36">
        <v>90437.74</v>
      </c>
      <c r="C14" s="101">
        <f t="shared" ref="C14:C21" si="4">B14/B13-1</f>
        <v>2.1452749248803027E-2</v>
      </c>
      <c r="D14" s="46">
        <v>-8740.2000000000007</v>
      </c>
      <c r="E14" s="39">
        <f t="shared" ref="E14:E21" si="5">D14/B13</f>
        <v>-9.8716545979415093E-2</v>
      </c>
      <c r="F14" s="36">
        <v>20294.123</v>
      </c>
      <c r="G14" s="101">
        <f t="shared" si="2"/>
        <v>7.4716150406392012E-2</v>
      </c>
      <c r="H14" s="46">
        <v>-858.50800000000004</v>
      </c>
      <c r="I14" s="103">
        <f t="shared" si="3"/>
        <v>-4.5464019945729649E-2</v>
      </c>
      <c r="J14" s="36">
        <f t="shared" si="0"/>
        <v>110731.86300000001</v>
      </c>
      <c r="K14" s="37">
        <f t="shared" ref="K14:K21" si="6">J14/J13-1</f>
        <v>3.0815723643782711E-2</v>
      </c>
      <c r="L14" s="46">
        <f t="shared" si="1"/>
        <v>-9598.7080000000005</v>
      </c>
      <c r="M14" s="40">
        <f t="shared" ref="M14:M21" si="7">L14/J13</f>
        <v>-8.9355483281856871E-2</v>
      </c>
    </row>
    <row r="15" spans="1:13" s="34" customFormat="1" x14ac:dyDescent="0.25">
      <c r="A15" s="29" t="s">
        <v>60</v>
      </c>
      <c r="B15" s="30">
        <v>91430.45</v>
      </c>
      <c r="C15" s="102">
        <f t="shared" si="4"/>
        <v>1.0976722770825509E-2</v>
      </c>
      <c r="D15" s="45">
        <v>-6355.9639999999999</v>
      </c>
      <c r="E15" s="43">
        <f t="shared" si="5"/>
        <v>-7.0279995939748152E-2</v>
      </c>
      <c r="F15" s="30">
        <v>20310.891</v>
      </c>
      <c r="G15" s="102">
        <f t="shared" si="2"/>
        <v>8.2624905742423316E-4</v>
      </c>
      <c r="H15" s="45">
        <v>-1615.4570000000001</v>
      </c>
      <c r="I15" s="104">
        <f t="shared" si="3"/>
        <v>-7.960220798898282E-2</v>
      </c>
      <c r="J15" s="30">
        <f t="shared" si="0"/>
        <v>111741.341</v>
      </c>
      <c r="K15" s="41">
        <f t="shared" si="6"/>
        <v>9.116418460330511E-3</v>
      </c>
      <c r="L15" s="45">
        <f t="shared" si="1"/>
        <v>-7971.4210000000003</v>
      </c>
      <c r="M15" s="44">
        <f t="shared" si="7"/>
        <v>-7.1988502532464388E-2</v>
      </c>
    </row>
    <row r="16" spans="1:13" s="34" customFormat="1" x14ac:dyDescent="0.25">
      <c r="A16" s="35" t="s">
        <v>61</v>
      </c>
      <c r="B16" s="36">
        <v>97146.25</v>
      </c>
      <c r="C16" s="101">
        <f t="shared" si="4"/>
        <v>6.2515278006397335E-2</v>
      </c>
      <c r="D16" s="46">
        <v>-1319.3810000000001</v>
      </c>
      <c r="E16" s="39">
        <f t="shared" si="5"/>
        <v>-1.4430433187193108E-2</v>
      </c>
      <c r="F16" s="36">
        <v>21552.598000000002</v>
      </c>
      <c r="G16" s="101">
        <f t="shared" si="2"/>
        <v>6.1135033416308548E-2</v>
      </c>
      <c r="H16" s="46">
        <v>-412.96300000000002</v>
      </c>
      <c r="I16" s="103">
        <f t="shared" si="3"/>
        <v>-2.0332096706146472E-2</v>
      </c>
      <c r="J16" s="36">
        <f t="shared" si="0"/>
        <v>118698.848</v>
      </c>
      <c r="K16" s="37">
        <f t="shared" si="6"/>
        <v>6.2264395055004806E-2</v>
      </c>
      <c r="L16" s="46">
        <f t="shared" si="1"/>
        <v>-1732.3440000000001</v>
      </c>
      <c r="M16" s="40">
        <f t="shared" si="7"/>
        <v>-1.5503161001083744E-2</v>
      </c>
    </row>
    <row r="17" spans="1:16" s="34" customFormat="1" x14ac:dyDescent="0.25">
      <c r="A17" s="29" t="s">
        <v>62</v>
      </c>
      <c r="B17" s="30">
        <v>112423.444</v>
      </c>
      <c r="C17" s="102">
        <f t="shared" si="4"/>
        <v>0.15725973982526353</v>
      </c>
      <c r="D17" s="47">
        <v>7008.2820000000002</v>
      </c>
      <c r="E17" s="43">
        <f t="shared" si="5"/>
        <v>7.2141559761699503E-2</v>
      </c>
      <c r="F17" s="30">
        <v>27219.067999999999</v>
      </c>
      <c r="G17" s="102">
        <f t="shared" si="2"/>
        <v>0.26291354759180297</v>
      </c>
      <c r="H17" s="47">
        <v>3649.9720000000002</v>
      </c>
      <c r="I17" s="104">
        <f t="shared" si="3"/>
        <v>0.1693518340573141</v>
      </c>
      <c r="J17" s="30">
        <f t="shared" si="0"/>
        <v>139642.51199999999</v>
      </c>
      <c r="K17" s="41">
        <f t="shared" si="6"/>
        <v>0.1764437006162014</v>
      </c>
      <c r="L17" s="47">
        <f t="shared" si="1"/>
        <v>10658.254000000001</v>
      </c>
      <c r="M17" s="44">
        <f t="shared" si="7"/>
        <v>8.9792396300257274E-2</v>
      </c>
    </row>
    <row r="18" spans="1:16" s="34" customFormat="1" x14ac:dyDescent="0.25">
      <c r="A18" s="35" t="s">
        <v>63</v>
      </c>
      <c r="B18" s="36">
        <v>115258.02099999999</v>
      </c>
      <c r="C18" s="101">
        <f t="shared" si="4"/>
        <v>2.521339766107844E-2</v>
      </c>
      <c r="D18" s="46">
        <v>-8178.8860000000004</v>
      </c>
      <c r="E18" s="39">
        <f t="shared" si="5"/>
        <v>-7.2750715589179074E-2</v>
      </c>
      <c r="F18" s="36">
        <v>27799.405999999999</v>
      </c>
      <c r="G18" s="101">
        <f t="shared" si="2"/>
        <v>2.1321009227795784E-2</v>
      </c>
      <c r="H18" s="46">
        <v>-2213.8679999999999</v>
      </c>
      <c r="I18" s="103">
        <f t="shared" si="3"/>
        <v>-8.1335187523687444E-2</v>
      </c>
      <c r="J18" s="36">
        <f t="shared" si="0"/>
        <v>143057.427</v>
      </c>
      <c r="K18" s="37">
        <f t="shared" si="6"/>
        <v>2.4454694713598402E-2</v>
      </c>
      <c r="L18" s="46">
        <f t="shared" si="1"/>
        <v>-10392.754000000001</v>
      </c>
      <c r="M18" s="40">
        <f t="shared" si="7"/>
        <v>-7.442399775793207E-2</v>
      </c>
    </row>
    <row r="19" spans="1:16" s="34" customFormat="1" x14ac:dyDescent="0.25">
      <c r="A19" s="29" t="s">
        <v>64</v>
      </c>
      <c r="B19" s="30">
        <v>126853.217</v>
      </c>
      <c r="C19" s="102">
        <f t="shared" si="4"/>
        <v>0.10060207436669422</v>
      </c>
      <c r="D19" s="47">
        <v>3057.299</v>
      </c>
      <c r="E19" s="43">
        <f t="shared" si="5"/>
        <v>2.6525694033910231E-2</v>
      </c>
      <c r="F19" s="30">
        <v>31413.353999999999</v>
      </c>
      <c r="G19" s="102">
        <f t="shared" si="2"/>
        <v>0.130000907213629</v>
      </c>
      <c r="H19" s="47">
        <v>1425.1469999999999</v>
      </c>
      <c r="I19" s="104">
        <f t="shared" si="3"/>
        <v>5.1265375958033058E-2</v>
      </c>
      <c r="J19" s="30">
        <f t="shared" si="0"/>
        <v>158266.571</v>
      </c>
      <c r="K19" s="41">
        <f t="shared" si="6"/>
        <v>0.10631495560171089</v>
      </c>
      <c r="L19" s="47">
        <f t="shared" si="1"/>
        <v>4482.4459999999999</v>
      </c>
      <c r="M19" s="44">
        <f t="shared" si="7"/>
        <v>3.133319320778781E-2</v>
      </c>
    </row>
    <row r="20" spans="1:16" s="34" customFormat="1" x14ac:dyDescent="0.25">
      <c r="A20" s="35" t="s">
        <v>65</v>
      </c>
      <c r="B20" s="36">
        <v>135411.68100000001</v>
      </c>
      <c r="C20" s="101">
        <f t="shared" si="4"/>
        <v>6.7467457289632771E-2</v>
      </c>
      <c r="D20" s="46">
        <v>-1869.5310000000022</v>
      </c>
      <c r="E20" s="39">
        <f t="shared" si="5"/>
        <v>-1.4737750009130648E-2</v>
      </c>
      <c r="F20" s="36">
        <v>33322.74</v>
      </c>
      <c r="G20" s="101">
        <f t="shared" si="2"/>
        <v>6.0782621301755935E-2</v>
      </c>
      <c r="H20" s="46">
        <v>-826.94799999999998</v>
      </c>
      <c r="I20" s="103">
        <f t="shared" si="3"/>
        <v>-2.6324728012169601E-2</v>
      </c>
      <c r="J20" s="36">
        <f t="shared" si="0"/>
        <v>168734.421</v>
      </c>
      <c r="K20" s="37">
        <f t="shared" si="6"/>
        <v>6.6140625489383931E-2</v>
      </c>
      <c r="L20" s="46">
        <f t="shared" si="1"/>
        <v>-2696.4790000000021</v>
      </c>
      <c r="M20" s="40">
        <f t="shared" si="7"/>
        <v>-1.7037577695418714E-2</v>
      </c>
    </row>
    <row r="21" spans="1:16" s="34" customFormat="1" x14ac:dyDescent="0.25">
      <c r="A21" s="29" t="s">
        <v>66</v>
      </c>
      <c r="B21" s="30">
        <v>150412.546</v>
      </c>
      <c r="C21" s="102">
        <f t="shared" si="4"/>
        <v>0.11077969706320978</v>
      </c>
      <c r="D21" s="47">
        <v>4963.7360000000008</v>
      </c>
      <c r="E21" s="43">
        <f t="shared" si="5"/>
        <v>3.6656630826405592E-2</v>
      </c>
      <c r="F21" s="30">
        <v>37523.192999999999</v>
      </c>
      <c r="G21" s="102">
        <f t="shared" si="2"/>
        <v>0.12605364984992229</v>
      </c>
      <c r="H21" s="47">
        <v>1532.9190000000001</v>
      </c>
      <c r="I21" s="104">
        <f t="shared" si="3"/>
        <v>4.6002189495821778E-2</v>
      </c>
      <c r="J21" s="30">
        <f t="shared" si="0"/>
        <v>187935.739</v>
      </c>
      <c r="K21" s="41">
        <f t="shared" si="6"/>
        <v>0.11379609380352806</v>
      </c>
      <c r="L21" s="47">
        <f t="shared" si="1"/>
        <v>6496.6550000000007</v>
      </c>
      <c r="M21" s="44">
        <f t="shared" si="7"/>
        <v>3.8502250824092379E-2</v>
      </c>
      <c r="O21" s="48"/>
      <c r="P21" s="48"/>
    </row>
    <row r="22" spans="1:16" s="34" customFormat="1" x14ac:dyDescent="0.25">
      <c r="A22" s="35" t="s">
        <v>67</v>
      </c>
      <c r="B22" s="36">
        <f>SBPE_Mensal!G356</f>
        <v>187827.264</v>
      </c>
      <c r="C22" s="101">
        <f t="shared" ref="C22:C27" si="8">B22/B21-1</f>
        <v>0.24874732191555338</v>
      </c>
      <c r="D22" s="49">
        <v>26493.599999999999</v>
      </c>
      <c r="E22" s="39">
        <f t="shared" ref="E22:E27" si="9">D22/B21</f>
        <v>0.17613956218785098</v>
      </c>
      <c r="F22" s="36">
        <v>47434.387999999999</v>
      </c>
      <c r="G22" s="101">
        <f t="shared" ref="G22:G27" si="10">F22/F21-1</f>
        <v>0.26413517101276529</v>
      </c>
      <c r="H22" s="49">
        <v>6927.3579999999993</v>
      </c>
      <c r="I22" s="103">
        <f t="shared" ref="I22:I27" si="11">H22/F21</f>
        <v>0.18461536575525433</v>
      </c>
      <c r="J22" s="36">
        <f t="shared" si="0"/>
        <v>235261.652</v>
      </c>
      <c r="K22" s="37">
        <f t="shared" ref="K22:K27" si="12">J22/J21-1</f>
        <v>0.2518196552280032</v>
      </c>
      <c r="L22" s="49">
        <f t="shared" si="1"/>
        <v>33420.957999999999</v>
      </c>
      <c r="M22" s="40">
        <f t="shared" ref="M22:M27" si="13">L22/J21</f>
        <v>0.17783183857329019</v>
      </c>
      <c r="O22" s="48"/>
      <c r="P22" s="48"/>
    </row>
    <row r="23" spans="1:16" s="34" customFormat="1" x14ac:dyDescent="0.25">
      <c r="A23" s="29" t="s">
        <v>68</v>
      </c>
      <c r="B23" s="30">
        <f>SBPE_Mensal!G369</f>
        <v>215400.28200000001</v>
      </c>
      <c r="C23" s="102">
        <f t="shared" si="8"/>
        <v>0.14679987033192377</v>
      </c>
      <c r="D23" s="47">
        <v>13900.71</v>
      </c>
      <c r="E23" s="43">
        <f t="shared" si="9"/>
        <v>7.4007945939094336E-2</v>
      </c>
      <c r="F23" s="30">
        <f>Rural_Mensal!G370</f>
        <v>54995.457999999999</v>
      </c>
      <c r="G23" s="102">
        <f t="shared" si="10"/>
        <v>0.15940060194304606</v>
      </c>
      <c r="H23" s="47">
        <f>Rural_Mensal!$D$370</f>
        <v>4187.0429999999997</v>
      </c>
      <c r="I23" s="104">
        <f t="shared" si="11"/>
        <v>8.8270201778507182E-2</v>
      </c>
      <c r="J23" s="30">
        <f t="shared" si="0"/>
        <v>270395.74</v>
      </c>
      <c r="K23" s="41">
        <f t="shared" si="12"/>
        <v>0.14934047985006926</v>
      </c>
      <c r="L23" s="47">
        <f t="shared" si="1"/>
        <v>18087.752999999997</v>
      </c>
      <c r="M23" s="44">
        <f t="shared" si="13"/>
        <v>7.6883558566527441E-2</v>
      </c>
    </row>
    <row r="24" spans="1:16" s="34" customFormat="1" x14ac:dyDescent="0.25">
      <c r="A24" s="35" t="s">
        <v>99</v>
      </c>
      <c r="B24" s="36">
        <f>SBPE_Mensal!G383</f>
        <v>253604.98</v>
      </c>
      <c r="C24" s="101">
        <f t="shared" si="8"/>
        <v>0.1773660537733186</v>
      </c>
      <c r="D24" s="49">
        <f>SBPE_Mensal!$D$383</f>
        <v>23813.032999999996</v>
      </c>
      <c r="E24" s="39">
        <f t="shared" si="9"/>
        <v>0.11055246900744538</v>
      </c>
      <c r="F24" s="36">
        <f>Rural_Mensal!G383</f>
        <v>65477.998</v>
      </c>
      <c r="G24" s="101">
        <f t="shared" si="10"/>
        <v>0.1906073770673935</v>
      </c>
      <c r="H24" s="49">
        <f>Rural_Mensal!$D$383</f>
        <v>5752.6509999999998</v>
      </c>
      <c r="I24" s="103">
        <f t="shared" si="11"/>
        <v>0.10460229279297938</v>
      </c>
      <c r="J24" s="36">
        <f t="shared" si="0"/>
        <v>319082.978</v>
      </c>
      <c r="K24" s="37">
        <f t="shared" si="12"/>
        <v>0.18005919028162198</v>
      </c>
      <c r="L24" s="49">
        <f t="shared" si="1"/>
        <v>29565.683999999994</v>
      </c>
      <c r="M24" s="40">
        <f t="shared" si="13"/>
        <v>0.10934226996327677</v>
      </c>
    </row>
    <row r="25" spans="1:16" s="34" customFormat="1" x14ac:dyDescent="0.25">
      <c r="A25" s="29" t="s">
        <v>100</v>
      </c>
      <c r="B25" s="30">
        <f>SBPE_Mensal!G396</f>
        <v>299878.217</v>
      </c>
      <c r="C25" s="102">
        <f t="shared" si="8"/>
        <v>0.18246186253913455</v>
      </c>
      <c r="D25" s="47">
        <f>SBPE_Mensal!$D$396</f>
        <v>29513.471999999998</v>
      </c>
      <c r="E25" s="43">
        <f t="shared" si="9"/>
        <v>0.11637575886719573</v>
      </c>
      <c r="F25" s="30">
        <f>Rural_Mensal!G396</f>
        <v>78920.573999999993</v>
      </c>
      <c r="G25" s="102">
        <f t="shared" si="10"/>
        <v>0.20529912964046315</v>
      </c>
      <c r="H25" s="47">
        <f>Rural_Mensal!$D$396</f>
        <v>9213.3009999999958</v>
      </c>
      <c r="I25" s="104">
        <f t="shared" si="11"/>
        <v>0.14070834908544388</v>
      </c>
      <c r="J25" s="30">
        <f t="shared" si="0"/>
        <v>378798.79099999997</v>
      </c>
      <c r="K25" s="41">
        <f t="shared" si="12"/>
        <v>0.18714822512406148</v>
      </c>
      <c r="L25" s="47">
        <f t="shared" si="1"/>
        <v>38726.772999999994</v>
      </c>
      <c r="M25" s="44">
        <f t="shared" si="13"/>
        <v>0.12136897192930171</v>
      </c>
    </row>
    <row r="26" spans="1:16" s="34" customFormat="1" x14ac:dyDescent="0.25">
      <c r="A26" s="35" t="s">
        <v>102</v>
      </c>
      <c r="B26" s="36">
        <f>SBPE_Mensal!G409</f>
        <v>330569.272</v>
      </c>
      <c r="C26" s="101">
        <f t="shared" si="8"/>
        <v>0.10234506296267587</v>
      </c>
      <c r="D26" s="49">
        <f>SBPE_Mensal!$D$409</f>
        <v>9382.9320000000153</v>
      </c>
      <c r="E26" s="39">
        <f t="shared" si="9"/>
        <v>3.128914161844578E-2</v>
      </c>
      <c r="F26" s="36">
        <f>Rural_Mensal!G409</f>
        <v>89439.721999999994</v>
      </c>
      <c r="G26" s="101">
        <f t="shared" si="10"/>
        <v>0.13328777867226371</v>
      </c>
      <c r="H26" s="49">
        <f>Rural_Mensal!$D$409</f>
        <v>4844.6569999999956</v>
      </c>
      <c r="I26" s="103">
        <f t="shared" si="11"/>
        <v>6.1386489662378738E-2</v>
      </c>
      <c r="J26" s="36">
        <f t="shared" ref="J26:J31" si="14">SUM(B26,F26)</f>
        <v>420008.99400000001</v>
      </c>
      <c r="K26" s="37">
        <f t="shared" si="12"/>
        <v>0.10879180181966319</v>
      </c>
      <c r="L26" s="49">
        <f t="shared" ref="L26:L31" si="15">SUM(D26,H26)</f>
        <v>14227.589000000011</v>
      </c>
      <c r="M26" s="40">
        <f t="shared" si="13"/>
        <v>3.7559752929623297E-2</v>
      </c>
    </row>
    <row r="27" spans="1:16" s="34" customFormat="1" x14ac:dyDescent="0.25">
      <c r="A27" s="29" t="s">
        <v>106</v>
      </c>
      <c r="B27" s="30">
        <f>SBPE_Mensal!G422</f>
        <v>388641.66200000001</v>
      </c>
      <c r="C27" s="102">
        <f t="shared" si="8"/>
        <v>0.17567389022171431</v>
      </c>
      <c r="D27" s="47">
        <f>SBPE_Mensal!$D$422</f>
        <v>37239.574999999953</v>
      </c>
      <c r="E27" s="43">
        <f t="shared" si="9"/>
        <v>0.11265286327036457</v>
      </c>
      <c r="F27" s="30">
        <f>Rural_Mensal!G422</f>
        <v>107660.772</v>
      </c>
      <c r="G27" s="102">
        <f t="shared" si="10"/>
        <v>0.20372435862445992</v>
      </c>
      <c r="H27" s="47">
        <f>Rural_Mensal!$D$422</f>
        <v>12479.983999999997</v>
      </c>
      <c r="I27" s="104">
        <f t="shared" si="11"/>
        <v>0.13953513853721503</v>
      </c>
      <c r="J27" s="30">
        <f t="shared" si="14"/>
        <v>496302.43400000001</v>
      </c>
      <c r="K27" s="41">
        <f t="shared" si="12"/>
        <v>0.18164715777491192</v>
      </c>
      <c r="L27" s="47">
        <f t="shared" si="15"/>
        <v>49719.55899999995</v>
      </c>
      <c r="M27" s="44">
        <f t="shared" si="13"/>
        <v>0.11837736741418435</v>
      </c>
    </row>
    <row r="28" spans="1:16" s="34" customFormat="1" x14ac:dyDescent="0.25">
      <c r="A28" s="35" t="s">
        <v>121</v>
      </c>
      <c r="B28" s="36">
        <f>SBPE_Mensal!G435</f>
        <v>466788.64399999997</v>
      </c>
      <c r="C28" s="101">
        <f t="shared" ref="C28:C34" si="16">B28/B27-1</f>
        <v>0.20107721235506637</v>
      </c>
      <c r="D28" s="49">
        <f>SBPE_Mensal!$D$435</f>
        <v>54280.749000000025</v>
      </c>
      <c r="E28" s="39">
        <f t="shared" ref="E28:E34" si="17">D28/B27</f>
        <v>0.13966785938662443</v>
      </c>
      <c r="F28" s="36">
        <f>Rural_Mensal!G435</f>
        <v>131154.416</v>
      </c>
      <c r="G28" s="101">
        <f t="shared" ref="G28:G34" si="18">F28/F27-1</f>
        <v>0.21821916714474243</v>
      </c>
      <c r="H28" s="49">
        <f>Rural_Mensal!$D$435</f>
        <v>16766.843000000001</v>
      </c>
      <c r="I28" s="103">
        <f t="shared" ref="I28:I34" si="19">H28/F27</f>
        <v>0.15573771847001061</v>
      </c>
      <c r="J28" s="36">
        <f t="shared" si="14"/>
        <v>597943.05999999994</v>
      </c>
      <c r="K28" s="37">
        <f t="shared" ref="K28:K34" si="20">J28/J27-1</f>
        <v>0.20479574355663943</v>
      </c>
      <c r="L28" s="49">
        <f t="shared" si="15"/>
        <v>71047.592000000033</v>
      </c>
      <c r="M28" s="40">
        <f t="shared" ref="M28:M34" si="21">L28/J27</f>
        <v>0.14315382543539981</v>
      </c>
    </row>
    <row r="29" spans="1:16" s="34" customFormat="1" x14ac:dyDescent="0.25">
      <c r="A29" s="29" t="s">
        <v>127</v>
      </c>
      <c r="B29" s="30">
        <f>SBPE_Mensal!G448</f>
        <v>522343.50099999999</v>
      </c>
      <c r="C29" s="102">
        <f t="shared" si="16"/>
        <v>0.11901501399849823</v>
      </c>
      <c r="D29" s="47">
        <f>SBPE_Mensal!$D$448</f>
        <v>23758.558000000005</v>
      </c>
      <c r="E29" s="43">
        <f t="shared" si="17"/>
        <v>5.0897892023268686E-2</v>
      </c>
      <c r="F29" s="30">
        <f>Rural_Mensal!G448</f>
        <v>140383.609</v>
      </c>
      <c r="G29" s="102">
        <f t="shared" si="18"/>
        <v>7.0368907746118037E-2</v>
      </c>
      <c r="H29" s="47">
        <f>Rural_Mensal!$D$448</f>
        <v>275.4230000000025</v>
      </c>
      <c r="I29" s="104">
        <f t="shared" si="19"/>
        <v>2.0999902893090732E-3</v>
      </c>
      <c r="J29" s="30">
        <f t="shared" si="14"/>
        <v>662727.11</v>
      </c>
      <c r="K29" s="41">
        <f t="shared" si="20"/>
        <v>0.10834484808637135</v>
      </c>
      <c r="L29" s="47">
        <f t="shared" si="15"/>
        <v>24033.981000000007</v>
      </c>
      <c r="M29" s="44">
        <f t="shared" si="21"/>
        <v>4.0194430887783877E-2</v>
      </c>
    </row>
    <row r="30" spans="1:16" s="34" customFormat="1" x14ac:dyDescent="0.25">
      <c r="A30" s="35" t="s">
        <v>130</v>
      </c>
      <c r="B30" s="36">
        <f>SBPE_Mensal!G461</f>
        <v>509223.04399999999</v>
      </c>
      <c r="C30" s="101">
        <f t="shared" si="16"/>
        <v>-2.5118445955356061E-2</v>
      </c>
      <c r="D30" s="49">
        <f>SBPE_Mensal!$D$461</f>
        <v>-50149.362999999954</v>
      </c>
      <c r="E30" s="39">
        <f t="shared" si="17"/>
        <v>-9.6008398504033379E-2</v>
      </c>
      <c r="F30" s="36">
        <f>Rural_Mensal!G461</f>
        <v>147366.72700000001</v>
      </c>
      <c r="G30" s="101">
        <f t="shared" si="18"/>
        <v>4.9743114952971679E-2</v>
      </c>
      <c r="H30" s="49">
        <f>Rural_Mensal!$D$461</f>
        <v>-3418.5039999999972</v>
      </c>
      <c r="I30" s="103">
        <f t="shared" si="19"/>
        <v>-2.4351161965069562E-2</v>
      </c>
      <c r="J30" s="36">
        <f t="shared" si="14"/>
        <v>656589.77099999995</v>
      </c>
      <c r="K30" s="37">
        <f t="shared" si="20"/>
        <v>-9.2607332752692173E-3</v>
      </c>
      <c r="L30" s="49">
        <f t="shared" si="15"/>
        <v>-53567.866999999955</v>
      </c>
      <c r="M30" s="40">
        <f t="shared" si="21"/>
        <v>-8.0829448790769934E-2</v>
      </c>
    </row>
    <row r="31" spans="1:16" s="34" customFormat="1" x14ac:dyDescent="0.25">
      <c r="A31" s="29" t="s">
        <v>132</v>
      </c>
      <c r="B31" s="30">
        <f>SBPE_Mensal!G474</f>
        <v>515955.43</v>
      </c>
      <c r="C31" s="102">
        <f t="shared" si="16"/>
        <v>1.3220898149298943E-2</v>
      </c>
      <c r="D31" s="47">
        <f>SBPE_Mensal!$D$474</f>
        <v>-31222.545999999973</v>
      </c>
      <c r="E31" s="43">
        <f t="shared" si="17"/>
        <v>-6.1314086956363222E-2</v>
      </c>
      <c r="F31" s="30">
        <f>Rural_Mensal!G474</f>
        <v>149036.99400000001</v>
      </c>
      <c r="G31" s="102">
        <f t="shared" si="18"/>
        <v>1.1334084932211219E-2</v>
      </c>
      <c r="H31" s="47">
        <f>Rural_Mensal!$D$474</f>
        <v>-9479.2069999999912</v>
      </c>
      <c r="I31" s="104">
        <f t="shared" si="19"/>
        <v>-6.4323929783688491E-2</v>
      </c>
      <c r="J31" s="30">
        <f t="shared" si="14"/>
        <v>664992.424</v>
      </c>
      <c r="K31" s="41">
        <f t="shared" si="20"/>
        <v>1.2797416851625165E-2</v>
      </c>
      <c r="L31" s="47">
        <f t="shared" si="15"/>
        <v>-40701.752999999968</v>
      </c>
      <c r="M31" s="44">
        <f t="shared" si="21"/>
        <v>-6.1989623959584912E-2</v>
      </c>
    </row>
    <row r="32" spans="1:16" s="34" customFormat="1" x14ac:dyDescent="0.25">
      <c r="A32" s="35" t="s">
        <v>133</v>
      </c>
      <c r="B32" s="36">
        <f>SBPE_Mensal!G487</f>
        <v>563741.67500000005</v>
      </c>
      <c r="C32" s="101">
        <f t="shared" si="16"/>
        <v>9.2617001821261979E-2</v>
      </c>
      <c r="D32" s="49">
        <f>SBPE_Mensal!$D$487</f>
        <v>14774.799000000057</v>
      </c>
      <c r="E32" s="39">
        <f t="shared" si="17"/>
        <v>2.863580484073994E-2</v>
      </c>
      <c r="F32" s="36">
        <f>Rural_Mensal!G487</f>
        <v>160861.77100000001</v>
      </c>
      <c r="G32" s="101">
        <f t="shared" si="18"/>
        <v>7.9341220475769969E-2</v>
      </c>
      <c r="H32" s="49">
        <f>Rural_Mensal!$D$487</f>
        <v>2351.9029999999948</v>
      </c>
      <c r="I32" s="103">
        <f t="shared" si="19"/>
        <v>1.5780665839247903E-2</v>
      </c>
      <c r="J32" s="36">
        <f t="shared" ref="J32:J34" si="22">SUM(B32,F32)</f>
        <v>724603.446</v>
      </c>
      <c r="K32" s="37">
        <f t="shared" si="20"/>
        <v>8.9641655827345179E-2</v>
      </c>
      <c r="L32" s="49">
        <f t="shared" ref="L32" si="23">SUM(D32,H32)</f>
        <v>17126.702000000052</v>
      </c>
      <c r="M32" s="40">
        <f t="shared" si="21"/>
        <v>2.5754732508050427E-2</v>
      </c>
    </row>
    <row r="33" spans="1:13" s="34" customFormat="1" x14ac:dyDescent="0.25">
      <c r="A33" s="29" t="s">
        <v>135</v>
      </c>
      <c r="B33" s="30">
        <f>SBPE_Mensal!G500</f>
        <v>618146.06299999997</v>
      </c>
      <c r="C33" s="102">
        <f t="shared" si="16"/>
        <v>9.6505882769798657E-2</v>
      </c>
      <c r="D33" s="47">
        <f>SBPE_Mensal!$D$500</f>
        <v>27791.076000000005</v>
      </c>
      <c r="E33" s="43">
        <f t="shared" si="17"/>
        <v>4.9297536854978841E-2</v>
      </c>
      <c r="F33" s="30">
        <f>Rural_Mensal!G500</f>
        <v>179134.93900000001</v>
      </c>
      <c r="G33" s="102">
        <f t="shared" si="18"/>
        <v>0.11359546700502254</v>
      </c>
      <c r="H33" s="47">
        <f>Rural_Mensal!$D$500</f>
        <v>10469.293000000012</v>
      </c>
      <c r="I33" s="104">
        <f t="shared" si="19"/>
        <v>6.5082542203268492E-2</v>
      </c>
      <c r="J33" s="30">
        <f t="shared" ref="J33" si="24">SUM(B33,F33)</f>
        <v>797281.00199999998</v>
      </c>
      <c r="K33" s="41">
        <f t="shared" si="20"/>
        <v>0.10029976589429568</v>
      </c>
      <c r="L33" s="47">
        <f t="shared" ref="L33" si="25">SUM(D33,H33)</f>
        <v>38260.369000000021</v>
      </c>
      <c r="M33" s="44">
        <f t="shared" si="21"/>
        <v>5.2801803815876444E-2</v>
      </c>
    </row>
    <row r="34" spans="1:13" s="34" customFormat="1" x14ac:dyDescent="0.25">
      <c r="A34" s="35" t="s">
        <v>137</v>
      </c>
      <c r="B34" s="36">
        <f>SBPE_Mensal!G513</f>
        <v>657531.44200000004</v>
      </c>
      <c r="C34" s="101">
        <f t="shared" si="16"/>
        <v>6.3715327747707606E-2</v>
      </c>
      <c r="D34" s="49">
        <f>SBPE_Mensal!D513</f>
        <v>12389.57500000007</v>
      </c>
      <c r="E34" s="39">
        <f t="shared" si="17"/>
        <v>2.0043118838079649E-2</v>
      </c>
      <c r="F34" s="36">
        <f>Rural_Mensal!G513</f>
        <v>187933.103</v>
      </c>
      <c r="G34" s="101">
        <f t="shared" si="18"/>
        <v>4.9114729092575304E-2</v>
      </c>
      <c r="H34" s="49">
        <f>Rural_Mensal!D513</f>
        <v>937.49699999999939</v>
      </c>
      <c r="I34" s="103">
        <f t="shared" si="19"/>
        <v>5.233468162232714E-3</v>
      </c>
      <c r="J34" s="36">
        <f t="shared" si="22"/>
        <v>845464.54500000004</v>
      </c>
      <c r="K34" s="37">
        <f t="shared" si="20"/>
        <v>6.0434831482413909E-2</v>
      </c>
      <c r="L34" s="49">
        <f>SUM(D34,H34)</f>
        <v>13327.072000000069</v>
      </c>
      <c r="M34" s="40">
        <f t="shared" si="21"/>
        <v>1.6715652281402371E-2</v>
      </c>
    </row>
    <row r="35" spans="1:13" s="34" customFormat="1" x14ac:dyDescent="0.25">
      <c r="A35" s="29" t="s">
        <v>139</v>
      </c>
      <c r="B35" s="30">
        <f>SBPE_Mensal!G526</f>
        <v>766816.29</v>
      </c>
      <c r="C35" s="102">
        <f t="shared" ref="C35" si="26">B35/B34-1</f>
        <v>0.16620474857839573</v>
      </c>
      <c r="D35" s="47">
        <f>SBPE_Mensal!D526</f>
        <v>95805.390000000043</v>
      </c>
      <c r="E35" s="43">
        <f t="shared" ref="E35" si="27">D35/B34</f>
        <v>0.14570465209783845</v>
      </c>
      <c r="F35" s="30">
        <f>Rural_Mensal!G526</f>
        <v>219963.571</v>
      </c>
      <c r="G35" s="102">
        <f t="shared" ref="G35" si="28">F35/F34-1</f>
        <v>0.17043547671322168</v>
      </c>
      <c r="H35" s="47">
        <f>Rural_Mensal!D526</f>
        <v>28176.418000000005</v>
      </c>
      <c r="I35" s="104">
        <f t="shared" ref="I35" si="29">H35/F34</f>
        <v>0.14992791344481768</v>
      </c>
      <c r="J35" s="30">
        <f t="shared" ref="J35" si="30">SUM(B35,F35)</f>
        <v>986779.86100000003</v>
      </c>
      <c r="K35" s="41">
        <f t="shared" ref="K35" si="31">J35/J34-1</f>
        <v>0.16714517106095794</v>
      </c>
      <c r="L35" s="47">
        <f>SUM(D35,H35)</f>
        <v>123981.80800000005</v>
      </c>
      <c r="M35" s="44">
        <f t="shared" ref="M35" si="32">L35/J34</f>
        <v>0.146643414834149</v>
      </c>
    </row>
    <row r="36" spans="1:13" s="34" customFormat="1" x14ac:dyDescent="0.25">
      <c r="A36" s="142"/>
      <c r="B36" s="143"/>
      <c r="C36" s="144"/>
      <c r="D36" s="145"/>
      <c r="E36" s="44"/>
      <c r="F36" s="143"/>
      <c r="G36" s="144"/>
      <c r="H36" s="145"/>
      <c r="I36" s="146"/>
      <c r="J36" s="143"/>
      <c r="K36" s="48"/>
      <c r="L36" s="145"/>
      <c r="M36" s="44"/>
    </row>
    <row r="37" spans="1:13" x14ac:dyDescent="0.25">
      <c r="A37" s="61" t="s">
        <v>105</v>
      </c>
      <c r="B37" s="50"/>
      <c r="C37" s="51"/>
      <c r="D37" s="50"/>
      <c r="E37" s="51"/>
      <c r="F37" s="50"/>
      <c r="G37" s="51"/>
      <c r="H37" s="50"/>
      <c r="I37" s="51"/>
      <c r="J37" s="50"/>
      <c r="K37" s="51"/>
      <c r="L37" s="50"/>
      <c r="M37" s="51"/>
    </row>
    <row r="38" spans="1:13" x14ac:dyDescent="0.25">
      <c r="A38" s="61" t="s">
        <v>140</v>
      </c>
      <c r="D38" s="52"/>
      <c r="E38" s="34"/>
      <c r="F38" s="52"/>
      <c r="G38" s="34"/>
      <c r="H38" s="52"/>
      <c r="I38" s="34"/>
      <c r="J38" s="52"/>
      <c r="K38" s="34"/>
      <c r="L38" s="52"/>
      <c r="M38" s="34"/>
    </row>
    <row r="39" spans="1:13" x14ac:dyDescent="0.25">
      <c r="A39" s="53" t="s">
        <v>70</v>
      </c>
    </row>
    <row r="40" spans="1:13" x14ac:dyDescent="0.25">
      <c r="A40" s="53" t="s">
        <v>71</v>
      </c>
    </row>
    <row r="41" spans="1:13" x14ac:dyDescent="0.25">
      <c r="A41" s="53" t="s">
        <v>72</v>
      </c>
    </row>
    <row r="42" spans="1:13" x14ac:dyDescent="0.25">
      <c r="A42" s="53" t="s">
        <v>73</v>
      </c>
    </row>
    <row r="43" spans="1:13" x14ac:dyDescent="0.25">
      <c r="A43" s="53" t="s">
        <v>74</v>
      </c>
    </row>
    <row r="44" spans="1:13" x14ac:dyDescent="0.25">
      <c r="A44" s="9" t="s">
        <v>75</v>
      </c>
    </row>
    <row r="78" spans="3:3" x14ac:dyDescent="0.25">
      <c r="C78" s="150">
        <f>IFERROR(INDEX(SBPE_Mensal!$A$488:$A$499,COUNTA(SBPE_Mensal!$G$488:$G$499)),0)</f>
        <v>43435</v>
      </c>
    </row>
  </sheetData>
  <mergeCells count="10">
    <mergeCell ref="L7:M7"/>
    <mergeCell ref="B6:E6"/>
    <mergeCell ref="F6:I6"/>
    <mergeCell ref="J6:M6"/>
    <mergeCell ref="A7:A8"/>
    <mergeCell ref="B7:C7"/>
    <mergeCell ref="D7:E7"/>
    <mergeCell ref="F7:G7"/>
    <mergeCell ref="H7:I7"/>
    <mergeCell ref="J7:K7"/>
  </mergeCells>
  <phoneticPr fontId="31" type="noConversion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70" orientation="landscape" verticalDpi="1200" r:id="rId1"/>
  <headerFooter alignWithMargins="0"/>
  <ignoredErrors>
    <ignoredError sqref="K12:K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SBPE</vt:lpstr>
      <vt:lpstr>SBPE_Mensal</vt:lpstr>
      <vt:lpstr>Rural_Mensal</vt:lpstr>
      <vt:lpstr>Total_Anual</vt:lpstr>
      <vt:lpstr>Rural_Mensal!Area_de_impressao</vt:lpstr>
      <vt:lpstr>SBPE!Area_de_impressao</vt:lpstr>
      <vt:lpstr>SBPE_Mensal!Area_de_impressao</vt:lpstr>
      <vt:lpstr>Total_Anual!Area_de_impressao</vt:lpstr>
      <vt:lpstr>Rural_Mensal!Titulos_de_impressao</vt:lpstr>
      <vt:lpstr>SBPE_Mensal!Titulos_de_impressao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Priscila Zioli</cp:lastModifiedBy>
  <cp:lastPrinted>2019-06-06T21:04:56Z</cp:lastPrinted>
  <dcterms:created xsi:type="dcterms:W3CDTF">2001-08-07T17:49:36Z</dcterms:created>
  <dcterms:modified xsi:type="dcterms:W3CDTF">2020-09-04T19:37:34Z</dcterms:modified>
</cp:coreProperties>
</file>